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5385" tabRatio="599" activeTab="0"/>
  </bookViews>
  <sheets>
    <sheet name="СЕТКА в КАРТАХ" sheetId="1" r:id="rId1"/>
    <sheet name="СЕТКА в РУЛОНАХ сварная" sheetId="2" r:id="rId2"/>
    <sheet name="Рабица, ПВХ, ЦПВС, Арматура " sheetId="3" r:id="rId3"/>
  </sheets>
  <definedNames/>
  <calcPr fullCalcOnLoad="1"/>
</workbook>
</file>

<file path=xl/sharedStrings.xml><?xml version="1.0" encoding="utf-8"?>
<sst xmlns="http://schemas.openxmlformats.org/spreadsheetml/2006/main" count="389" uniqueCount="167">
  <si>
    <t xml:space="preserve">Сетка  в РУЛОНЕ сварная </t>
  </si>
  <si>
    <t>50х50х2</t>
  </si>
  <si>
    <t>Сетка  в РУЛОНЕ сварная оцинкованная</t>
  </si>
  <si>
    <t>Сетка  в РУЛОНЕ просечно-вытяжная (ЦПВС)</t>
  </si>
  <si>
    <t>32x14x0,6 ОЦ</t>
  </si>
  <si>
    <t>10x5x0,6 ОЦ</t>
  </si>
  <si>
    <t>сайт: www.profset.ru      эл. адрес: profset@mail.ru</t>
  </si>
  <si>
    <t>Лист 1</t>
  </si>
  <si>
    <t>50х50х1,6</t>
  </si>
  <si>
    <t>25х50х1,6</t>
  </si>
  <si>
    <t>Лист 2</t>
  </si>
  <si>
    <t>1,2мм, бухты</t>
  </si>
  <si>
    <t>3мм, бухты</t>
  </si>
  <si>
    <t>5мм, бухты</t>
  </si>
  <si>
    <t>2мм, бухты</t>
  </si>
  <si>
    <t>4мм, бухты</t>
  </si>
  <si>
    <t>6мм, бухты</t>
  </si>
  <si>
    <t>100х100х4ВР1 ОЦ</t>
  </si>
  <si>
    <t>8x5x0,6 ОЦ</t>
  </si>
  <si>
    <t>100х100х6ВР1</t>
  </si>
  <si>
    <t>50х50х1,7</t>
  </si>
  <si>
    <t>55х55х2,5</t>
  </si>
  <si>
    <t>50х100х4ВР1</t>
  </si>
  <si>
    <t>25х50х1,8</t>
  </si>
  <si>
    <t>ПРОВОЛОКА термически обработанная ГОСТ 3282-74, руб./кг</t>
  </si>
  <si>
    <t>Продукция сертифицирована .   Производим сетки нестандартных размеров. Цинкуем сетки любых размеров под заказ.</t>
  </si>
  <si>
    <t>Сетка ВР-1 диам. 3-6 яч. 50-200 немерн.спец!!!</t>
  </si>
  <si>
    <t xml:space="preserve">50х60х1,6 </t>
  </si>
  <si>
    <t xml:space="preserve">АРМАТУРА стеклопластиковая периодического профиля </t>
  </si>
  <si>
    <t>100х100х3ВР1 ОЦ</t>
  </si>
  <si>
    <t>50х12,5х1,6</t>
  </si>
  <si>
    <t>50х50х2,2</t>
  </si>
  <si>
    <t>50х50х1,4</t>
  </si>
  <si>
    <t>25х25х1,0*</t>
  </si>
  <si>
    <t>Сетка сварная в картах</t>
  </si>
  <si>
    <t>Цена за карту</t>
  </si>
  <si>
    <t>Сетка сварная в рулоне</t>
  </si>
  <si>
    <t>м2 в рул.</t>
  </si>
  <si>
    <t>Дли-на, м</t>
  </si>
  <si>
    <t>Ши-рина, м</t>
  </si>
  <si>
    <t>Цена за рул.</t>
  </si>
  <si>
    <t>Цена   за м2 от  150</t>
  </si>
  <si>
    <t xml:space="preserve">Цена   за м2 от 300 </t>
  </si>
  <si>
    <t>Производство:       Московская обл., г. Протвино, ул. Железнодорожная д.5</t>
  </si>
  <si>
    <t>25х50х1,4</t>
  </si>
  <si>
    <t>Цена за м2 до 150</t>
  </si>
  <si>
    <t>Лист 3</t>
  </si>
  <si>
    <t>Сетка  РАБИЦА   н/у   ГОСТ 5336-80  в рулоне</t>
  </si>
  <si>
    <t>Сетка  РАБИЦА  покрытая полимером (зеленая) ПВХ в рулоне</t>
  </si>
  <si>
    <t>Сетка  РАБИЦА  ГОСТ 5336-80 оцинкованная в рулоне</t>
  </si>
  <si>
    <t>Сетка  штукатурная  тканая ГОСТ 3826-82  в рулоне</t>
  </si>
  <si>
    <t>Сетка рабица,тканая в рулоне</t>
  </si>
  <si>
    <t>50х50х5ВР1  ОЦ зак</t>
  </si>
  <si>
    <t>Сетка  в КАРТАХ сварная арматурная дорожная, кладочная  ГОСТ 8478-81, 23279-2012</t>
  </si>
  <si>
    <t>20х20х1,0</t>
  </si>
  <si>
    <t>Длина м</t>
  </si>
  <si>
    <t xml:space="preserve">АРМАТУРА </t>
  </si>
  <si>
    <t>Арматура В500С  №8,  мерн. 6,0  А-III</t>
  </si>
  <si>
    <t>Катанка ф 6,0 мерн. 6,0   A-I</t>
  </si>
  <si>
    <t>ООО" ПРОФСЕТ",    тел: (495) 971 -4423,     т/факс: (4967) 310952, 310818</t>
  </si>
  <si>
    <t>ООО" ПРОФСЕТ",   тел: (495) 971 -4423,    т/факс: (4967) 310952, 310818</t>
  </si>
  <si>
    <t>50х75х3 ГОСТ</t>
  </si>
  <si>
    <t>100х100х3 ГОСТ</t>
  </si>
  <si>
    <t>10х10х0,6</t>
  </si>
  <si>
    <t>20х20х0,8</t>
  </si>
  <si>
    <t>Арматура  АСП  №10, бухта 100 м</t>
  </si>
  <si>
    <t>Арматура  АСП  №8, бухта 100 м</t>
  </si>
  <si>
    <t>Арматура  АСП  №6, бухта 100 м</t>
  </si>
  <si>
    <t>50х50х2 ГОСТ</t>
  </si>
  <si>
    <t>Шири-на, м</t>
  </si>
  <si>
    <t>м2 в карте</t>
  </si>
  <si>
    <t>ООО " ПРОФСЕТ", (495) 971 -4423,  т/факс: (4967) 310952, 310818</t>
  </si>
  <si>
    <t>Цены указаны с учетом НДС 20%</t>
  </si>
  <si>
    <t>100х100х10   В500С</t>
  </si>
  <si>
    <t>150х150х10  В500С</t>
  </si>
  <si>
    <t>150х150х6    В500С</t>
  </si>
  <si>
    <t>200х200х6    В500С</t>
  </si>
  <si>
    <t>Сетка  в КАРТАХ сварная из арматуры АIII,  ГОСТ 23279-85</t>
  </si>
  <si>
    <t>12х12х0,6</t>
  </si>
  <si>
    <t>25х50х1,5</t>
  </si>
  <si>
    <t>Сетка  СВАРНАЯ  покрытая полимером (зеленая) ПВХ в рулоне</t>
  </si>
  <si>
    <t>100х55х1,8</t>
  </si>
  <si>
    <t>55х55х1,5</t>
  </si>
  <si>
    <t>до 500 пог. м, руб.</t>
  </si>
  <si>
    <t>Арматура  АСП  №12, бухта 100 м</t>
  </si>
  <si>
    <t xml:space="preserve"> от 500 пог. м/кг, руб.</t>
  </si>
  <si>
    <t>6х6х0,6 спец!!!</t>
  </si>
  <si>
    <t>10х10х0,6 спец!!!</t>
  </si>
  <si>
    <t>50х50х1,5</t>
  </si>
  <si>
    <t>1,4мм, бухты</t>
  </si>
  <si>
    <t>На стеклопластиковую арматуру АСП в прутках 5.0-6.0 метров скидка 5% от объема. Спец. цена!!!</t>
  </si>
  <si>
    <t>50х50х1,8 ГОСТ</t>
  </si>
  <si>
    <t>50х75х2 ГОСТ</t>
  </si>
  <si>
    <t>от 600 пог. м, руб.</t>
  </si>
  <si>
    <t>до 300 пог. м, руб.</t>
  </si>
  <si>
    <t xml:space="preserve"> от 300 пог. м, руб.</t>
  </si>
  <si>
    <t>50х12,5х1,4</t>
  </si>
  <si>
    <t>50х50х2,2  ГОСТ</t>
  </si>
  <si>
    <t>25х12,5х1,4</t>
  </si>
  <si>
    <t xml:space="preserve">Цена   за м2 от 150 </t>
  </si>
  <si>
    <t>6х6х0,6</t>
  </si>
  <si>
    <t>100х100х5ВР1 ТУ</t>
  </si>
  <si>
    <t>25х25х1,3</t>
  </si>
  <si>
    <t>25х25х1,5</t>
  </si>
  <si>
    <t>50х50х1,3</t>
  </si>
  <si>
    <t>50x20x0,7 ОЦ</t>
  </si>
  <si>
    <t>36x16x0,9 ОЦ</t>
  </si>
  <si>
    <t>36x16x0,5 ОЦ</t>
  </si>
  <si>
    <t>10х10х1,2 ост</t>
  </si>
  <si>
    <t>50х50х1,8;2,5 ост</t>
  </si>
  <si>
    <t>Арматура А500С  №10,  мерн. 6,0  А-III</t>
  </si>
  <si>
    <t>Арматура А500С  №10,  мерн. 12,0  А-III</t>
  </si>
  <si>
    <t>Арматура А500С  №12,  мерн. 11,7  А-III</t>
  </si>
  <si>
    <t>Арматура А500С  №8,  мерн. 6,0  А-III</t>
  </si>
  <si>
    <t>200х200х10  В500С</t>
  </si>
  <si>
    <t>50х50х1,6 ш. 1.5,1.8,2.0</t>
  </si>
  <si>
    <t>55х55х1,7 ост</t>
  </si>
  <si>
    <t>50х50х1,8  ГОСТ ост</t>
  </si>
  <si>
    <t>50х50х2,0  ГОСТ ост</t>
  </si>
  <si>
    <t>100х100х4ВР1 ТУ</t>
  </si>
  <si>
    <t xml:space="preserve">50х50х4ВР1 </t>
  </si>
  <si>
    <t>50х50х4ВР1 ТУ</t>
  </si>
  <si>
    <t xml:space="preserve">100х100х4ВР1 </t>
  </si>
  <si>
    <t>200х200х4ВР1 зак</t>
  </si>
  <si>
    <t>25х25х0,8 (0,9)</t>
  </si>
  <si>
    <t>50х100х3ВР1 ТУ</t>
  </si>
  <si>
    <t xml:space="preserve">50х50х2,0 ост </t>
  </si>
  <si>
    <t>50х50х1,8 ост</t>
  </si>
  <si>
    <t xml:space="preserve">2х2х0,4 ост  </t>
  </si>
  <si>
    <t xml:space="preserve">6х6х1,0 ост </t>
  </si>
  <si>
    <t xml:space="preserve">14х14х0,8 ост  </t>
  </si>
  <si>
    <t xml:space="preserve">14х14х1,0 ост </t>
  </si>
  <si>
    <t xml:space="preserve">40х0,5 тонкая ост </t>
  </si>
  <si>
    <t>40х0,8 суп жест ост</t>
  </si>
  <si>
    <t xml:space="preserve">150х150х4ВР1 </t>
  </si>
  <si>
    <t xml:space="preserve">50х50х3ВР1 ОЦ/гал зак ТУ </t>
  </si>
  <si>
    <t>100х100х3ВР1 ТУ</t>
  </si>
  <si>
    <t>50х50х4ВР1 ОЦ/гал зак ТУ</t>
  </si>
  <si>
    <t>Цена   за м2 менее 500</t>
  </si>
  <si>
    <t>Цена   за м2   от 500</t>
  </si>
  <si>
    <t xml:space="preserve">Цена   за м2   от 1500 </t>
  </si>
  <si>
    <t xml:space="preserve">100х100х5ВР1 </t>
  </si>
  <si>
    <t xml:space="preserve">200х200х5ВР1 </t>
  </si>
  <si>
    <t xml:space="preserve">200х200х4ВР1 </t>
  </si>
  <si>
    <t xml:space="preserve">50х50х3ВР1 </t>
  </si>
  <si>
    <t xml:space="preserve">100х100х3ВР1 </t>
  </si>
  <si>
    <t xml:space="preserve">150х150х6ВР1 </t>
  </si>
  <si>
    <t xml:space="preserve">150х150х5ВР1 </t>
  </si>
  <si>
    <t>150х150х5ВР1 ТУ</t>
  </si>
  <si>
    <t xml:space="preserve">200х200х6ВР1 </t>
  </si>
  <si>
    <t>200х200х4ВР1 ТУ</t>
  </si>
  <si>
    <t xml:space="preserve">50х50х5ВР1 </t>
  </si>
  <si>
    <t>50х50х5ВР1 ТУ</t>
  </si>
  <si>
    <t xml:space="preserve">50х50х3ВР1 ТУ </t>
  </si>
  <si>
    <t xml:space="preserve">65х65х3ВР1 </t>
  </si>
  <si>
    <t>150х150х4ВР1 ТУ</t>
  </si>
  <si>
    <t>200х200х5ВР1 ТУ</t>
  </si>
  <si>
    <t>по запросу</t>
  </si>
  <si>
    <t>по</t>
  </si>
  <si>
    <t>запросу</t>
  </si>
  <si>
    <t>200х200х3ВР1</t>
  </si>
  <si>
    <t>100,00/95,00</t>
  </si>
  <si>
    <t>95,00/90,00</t>
  </si>
  <si>
    <t>105,00/100,00</t>
  </si>
  <si>
    <t>75.00 руб./кг</t>
  </si>
  <si>
    <t>70.00 руб./кг</t>
  </si>
  <si>
    <t>90,00/85,00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</si>
</sst>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_р_."/>
    <numFmt numFmtId="181" formatCode="dd/mm/yy;@"/>
    <numFmt numFmtId="182" formatCode="#&quot; &quot;##0.00_р_."/>
    <numFmt numFmtId="183" formatCode="[$-FC19]d\ mmmm\ yyyy\ &quot;г.&quot;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"/>
    <numFmt numFmtId="191" formatCode="#,##0_р_."/>
    <numFmt numFmtId="192" formatCode="#,##0.000_р_."/>
    <numFmt numFmtId="193" formatCode="#,##0.0000_р_."/>
    <numFmt numFmtId="194" formatCode="#,##0.00000_р_.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b/>
      <i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9" fillId="0" borderId="12" xfId="0" applyNumberFormat="1" applyFont="1" applyBorder="1" applyAlignment="1">
      <alignment vertical="center"/>
    </xf>
    <xf numFmtId="180" fontId="9" fillId="0" borderId="12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9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vertical="center"/>
    </xf>
    <xf numFmtId="180" fontId="9" fillId="0" borderId="15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0" fontId="9" fillId="0" borderId="12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top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81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0" borderId="12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180" fontId="4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0" fontId="9" fillId="0" borderId="12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180" fontId="3" fillId="0" borderId="17" xfId="0" applyNumberFormat="1" applyFont="1" applyBorder="1" applyAlignment="1">
      <alignment horizontal="left" vertical="center"/>
    </xf>
    <xf numFmtId="180" fontId="3" fillId="0" borderId="12" xfId="0" applyNumberFormat="1" applyFont="1" applyBorder="1" applyAlignment="1">
      <alignment horizontal="left" vertical="center"/>
    </xf>
    <xf numFmtId="180" fontId="2" fillId="0" borderId="16" xfId="0" applyNumberFormat="1" applyFont="1" applyBorder="1" applyAlignment="1">
      <alignment horizontal="center" vertical="center"/>
    </xf>
    <xf numFmtId="180" fontId="13" fillId="0" borderId="18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80" fontId="9" fillId="0" borderId="19" xfId="0" applyNumberFormat="1" applyFont="1" applyFill="1" applyBorder="1" applyAlignment="1">
      <alignment vertical="center"/>
    </xf>
    <xf numFmtId="180" fontId="9" fillId="0" borderId="19" xfId="0" applyNumberFormat="1" applyFont="1" applyFill="1" applyBorder="1" applyAlignment="1">
      <alignment horizontal="right" vertical="center"/>
    </xf>
    <xf numFmtId="180" fontId="9" fillId="0" borderId="20" xfId="0" applyNumberFormat="1" applyFont="1" applyBorder="1" applyAlignment="1">
      <alignment vertical="center"/>
    </xf>
    <xf numFmtId="180" fontId="9" fillId="0" borderId="20" xfId="0" applyNumberFormat="1" applyFont="1" applyBorder="1" applyAlignment="1">
      <alignment horizontal="right" vertical="center"/>
    </xf>
    <xf numFmtId="180" fontId="2" fillId="0" borderId="20" xfId="0" applyNumberFormat="1" applyFont="1" applyBorder="1" applyAlignment="1">
      <alignment horizontal="right" vertical="center"/>
    </xf>
    <xf numFmtId="180" fontId="9" fillId="0" borderId="21" xfId="0" applyNumberFormat="1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 horizontal="right" vertical="center"/>
    </xf>
    <xf numFmtId="180" fontId="9" fillId="0" borderId="22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80" fontId="2" fillId="0" borderId="1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 shrinkToFit="1"/>
    </xf>
    <xf numFmtId="0" fontId="2" fillId="0" borderId="24" xfId="0" applyFont="1" applyBorder="1" applyAlignment="1">
      <alignment vertical="center" wrapText="1" shrinkToFi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2" fontId="2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2" fontId="2" fillId="0" borderId="26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9" fillId="0" borderId="12" xfId="0" applyNumberFormat="1" applyFont="1" applyBorder="1" applyAlignment="1">
      <alignment horizontal="left" vertical="center"/>
    </xf>
    <xf numFmtId="2" fontId="9" fillId="0" borderId="14" xfId="0" applyNumberFormat="1" applyFont="1" applyBorder="1" applyAlignment="1">
      <alignment horizontal="left" vertical="center"/>
    </xf>
    <xf numFmtId="2" fontId="9" fillId="0" borderId="21" xfId="0" applyNumberFormat="1" applyFont="1" applyBorder="1" applyAlignment="1">
      <alignment horizontal="left" vertical="center"/>
    </xf>
    <xf numFmtId="2" fontId="9" fillId="0" borderId="19" xfId="0" applyNumberFormat="1" applyFont="1" applyBorder="1" applyAlignment="1">
      <alignment horizontal="left" vertical="center"/>
    </xf>
    <xf numFmtId="2" fontId="9" fillId="0" borderId="26" xfId="0" applyNumberFormat="1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left" vertical="center"/>
    </xf>
    <xf numFmtId="2" fontId="0" fillId="0" borderId="23" xfId="0" applyNumberFormat="1" applyBorder="1" applyAlignment="1">
      <alignment horizontal="left"/>
    </xf>
    <xf numFmtId="2" fontId="2" fillId="0" borderId="2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 shrinkToFit="1"/>
    </xf>
    <xf numFmtId="0" fontId="2" fillId="0" borderId="23" xfId="0" applyFont="1" applyBorder="1" applyAlignment="1">
      <alignment vertical="center" wrapText="1" shrinkToFit="1"/>
    </xf>
    <xf numFmtId="0" fontId="2" fillId="0" borderId="24" xfId="0" applyFont="1" applyBorder="1" applyAlignment="1">
      <alignment vertical="center" wrapText="1" shrinkToFit="1"/>
    </xf>
    <xf numFmtId="0" fontId="9" fillId="0" borderId="23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24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85" fontId="3" fillId="0" borderId="30" xfId="0" applyNumberFormat="1" applyFont="1" applyBorder="1" applyAlignment="1">
      <alignment horizontal="center"/>
    </xf>
    <xf numFmtId="185" fontId="6" fillId="0" borderId="32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80" fontId="3" fillId="0" borderId="17" xfId="0" applyNumberFormat="1" applyFont="1" applyBorder="1" applyAlignment="1">
      <alignment horizontal="left" vertical="center"/>
    </xf>
    <xf numFmtId="180" fontId="3" fillId="0" borderId="11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9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0" fillId="0" borderId="17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180" fontId="3" fillId="0" borderId="12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3" fillId="0" borderId="30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0" fontId="60" fillId="0" borderId="17" xfId="0" applyFont="1" applyBorder="1" applyAlignment="1">
      <alignment horizontal="left" vertical="top" wrapText="1" shrinkToFit="1"/>
    </xf>
    <xf numFmtId="0" fontId="60" fillId="0" borderId="10" xfId="0" applyFont="1" applyBorder="1" applyAlignment="1">
      <alignment horizontal="left" vertical="top" wrapText="1" shrinkToFit="1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4"/>
  <sheetViews>
    <sheetView tabSelected="1" zoomScale="90" zoomScaleNormal="90" zoomScaleSheetLayoutView="100" zoomScalePageLayoutView="0" workbookViewId="0" topLeftCell="A1">
      <selection activeCell="G4" sqref="G4"/>
    </sheetView>
  </sheetViews>
  <sheetFormatPr defaultColWidth="9.00390625" defaultRowHeight="12.75"/>
  <cols>
    <col min="2" max="2" width="12.75390625" style="0" customWidth="1"/>
    <col min="3" max="3" width="9.125" style="0" hidden="1" customWidth="1"/>
    <col min="4" max="4" width="2.375" style="0" hidden="1" customWidth="1"/>
    <col min="5" max="5" width="7.875" style="0" customWidth="1"/>
    <col min="6" max="6" width="8.00390625" style="0" customWidth="1"/>
    <col min="7" max="7" width="10.625" style="0" customWidth="1"/>
    <col min="8" max="8" width="11.375" style="0" customWidth="1"/>
    <col min="9" max="9" width="11.75390625" style="0" customWidth="1"/>
    <col min="10" max="10" width="11.375" style="0" customWidth="1"/>
    <col min="11" max="11" width="11.00390625" style="0" customWidth="1"/>
    <col min="12" max="12" width="11.75390625" style="0" customWidth="1"/>
    <col min="13" max="13" width="10.875" style="0" customWidth="1"/>
    <col min="14" max="14" width="0.12890625" style="0" customWidth="1"/>
  </cols>
  <sheetData>
    <row r="1" ht="1.5" customHeight="1"/>
    <row r="2" spans="1:15" ht="15" customHeight="1">
      <c r="A2" s="1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2">
        <v>45271</v>
      </c>
      <c r="O2" s="29"/>
    </row>
    <row r="3" spans="1:13" ht="14.25" customHeight="1">
      <c r="A3" s="23" t="s">
        <v>6</v>
      </c>
      <c r="B3" s="24"/>
      <c r="C3" s="24"/>
      <c r="D3" s="24"/>
      <c r="E3" s="24"/>
      <c r="F3" s="24"/>
      <c r="G3" s="16"/>
      <c r="H3" s="24"/>
      <c r="I3" s="24"/>
      <c r="J3" s="25" t="s">
        <v>72</v>
      </c>
      <c r="K3" s="25"/>
      <c r="L3" s="25"/>
      <c r="M3" s="26" t="s">
        <v>7</v>
      </c>
    </row>
    <row r="4" spans="1:13" ht="32.25" customHeight="1">
      <c r="A4" s="136" t="s">
        <v>34</v>
      </c>
      <c r="B4" s="137"/>
      <c r="C4" s="2"/>
      <c r="D4" s="3"/>
      <c r="E4" s="30" t="s">
        <v>69</v>
      </c>
      <c r="F4" s="30" t="s">
        <v>55</v>
      </c>
      <c r="G4" s="31" t="s">
        <v>140</v>
      </c>
      <c r="H4" s="30" t="s">
        <v>35</v>
      </c>
      <c r="I4" s="31" t="s">
        <v>139</v>
      </c>
      <c r="J4" s="30" t="s">
        <v>35</v>
      </c>
      <c r="K4" s="31" t="s">
        <v>138</v>
      </c>
      <c r="L4" s="30" t="s">
        <v>35</v>
      </c>
      <c r="M4" s="31" t="s">
        <v>70</v>
      </c>
    </row>
    <row r="5" spans="1:13" ht="12" customHeight="1">
      <c r="A5" s="138" t="s">
        <v>53</v>
      </c>
      <c r="B5" s="139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1"/>
    </row>
    <row r="6" spans="1:13" ht="11.25" customHeight="1" thickBot="1">
      <c r="A6" s="134" t="s">
        <v>19</v>
      </c>
      <c r="B6" s="135"/>
      <c r="C6" s="7"/>
      <c r="D6" s="7"/>
      <c r="E6" s="96">
        <v>2</v>
      </c>
      <c r="F6" s="96">
        <v>6</v>
      </c>
      <c r="G6" s="85">
        <v>309</v>
      </c>
      <c r="H6" s="84">
        <f aca="true" t="shared" si="0" ref="H6:H36">G6*M6</f>
        <v>3708</v>
      </c>
      <c r="I6" s="85">
        <f>G6+G6/100*0.5502</f>
        <v>310.700118</v>
      </c>
      <c r="J6" s="84">
        <f aca="true" t="shared" si="1" ref="J6:J36">I6*M6</f>
        <v>3728.4014159999997</v>
      </c>
      <c r="K6" s="85">
        <f>G6+G6/100*2.0712</f>
        <v>315.400008</v>
      </c>
      <c r="L6" s="84">
        <f aca="true" t="shared" si="2" ref="L6:L15">K6*M6</f>
        <v>3784.800096</v>
      </c>
      <c r="M6" s="84">
        <f aca="true" t="shared" si="3" ref="M6:M15">E6*F6</f>
        <v>12</v>
      </c>
    </row>
    <row r="7" spans="1:13" ht="12" customHeight="1" thickBot="1" thickTop="1">
      <c r="A7" s="117"/>
      <c r="B7" s="116"/>
      <c r="C7" s="67"/>
      <c r="D7" s="67"/>
      <c r="E7" s="97">
        <v>2</v>
      </c>
      <c r="F7" s="97">
        <v>3</v>
      </c>
      <c r="G7" s="87">
        <v>309</v>
      </c>
      <c r="H7" s="86">
        <f t="shared" si="0"/>
        <v>1854</v>
      </c>
      <c r="I7" s="87">
        <f>G7+G7/100*0.5502</f>
        <v>310.700118</v>
      </c>
      <c r="J7" s="86">
        <f t="shared" si="1"/>
        <v>1864.2007079999998</v>
      </c>
      <c r="K7" s="87">
        <f>G7+G7/100*2.0712</f>
        <v>315.400008</v>
      </c>
      <c r="L7" s="86">
        <f t="shared" si="2"/>
        <v>1892.400048</v>
      </c>
      <c r="M7" s="86">
        <f t="shared" si="3"/>
        <v>6</v>
      </c>
    </row>
    <row r="8" spans="1:13" ht="11.25" customHeight="1" thickBot="1" thickTop="1">
      <c r="A8" s="106" t="s">
        <v>141</v>
      </c>
      <c r="B8" s="115"/>
      <c r="C8" s="115"/>
      <c r="D8" s="142"/>
      <c r="E8" s="98">
        <v>2</v>
      </c>
      <c r="F8" s="98">
        <v>6</v>
      </c>
      <c r="G8" s="89">
        <v>204.9</v>
      </c>
      <c r="H8" s="88">
        <f t="shared" si="0"/>
        <v>2458.8</v>
      </c>
      <c r="I8" s="89">
        <f>G8+G8/100*1.0738</f>
        <v>207.1002162</v>
      </c>
      <c r="J8" s="88">
        <f t="shared" si="1"/>
        <v>2485.2025944</v>
      </c>
      <c r="K8" s="89">
        <f>G8+G8/100*3.8555</f>
        <v>212.79991950000002</v>
      </c>
      <c r="L8" s="88">
        <f>K8*M8</f>
        <v>2553.5990340000003</v>
      </c>
      <c r="M8" s="88">
        <f t="shared" si="3"/>
        <v>12</v>
      </c>
    </row>
    <row r="9" spans="1:13" ht="12.75" customHeight="1" thickBot="1" thickTop="1">
      <c r="A9" s="133"/>
      <c r="B9" s="115"/>
      <c r="C9" s="115"/>
      <c r="D9" s="142"/>
      <c r="E9" s="97">
        <v>2</v>
      </c>
      <c r="F9" s="97">
        <v>3</v>
      </c>
      <c r="G9" s="87">
        <v>204.9</v>
      </c>
      <c r="H9" s="86">
        <f t="shared" si="0"/>
        <v>1229.4</v>
      </c>
      <c r="I9" s="87">
        <f>G9+G9/100*1.0734</f>
        <v>207.0993966</v>
      </c>
      <c r="J9" s="86">
        <f t="shared" si="1"/>
        <v>1242.5963796</v>
      </c>
      <c r="K9" s="87">
        <f>G9+G9/100*3.8555</f>
        <v>212.79991950000002</v>
      </c>
      <c r="L9" s="86">
        <f>K9*M9</f>
        <v>1276.7995170000002</v>
      </c>
      <c r="M9" s="86">
        <f t="shared" si="3"/>
        <v>6</v>
      </c>
    </row>
    <row r="10" spans="1:13" ht="12" customHeight="1" thickBot="1" thickTop="1">
      <c r="A10" s="106" t="s">
        <v>101</v>
      </c>
      <c r="B10" s="107"/>
      <c r="C10" s="107"/>
      <c r="D10" s="108"/>
      <c r="E10" s="98">
        <v>2</v>
      </c>
      <c r="F10" s="98">
        <v>6</v>
      </c>
      <c r="G10" s="89">
        <v>176.9</v>
      </c>
      <c r="H10" s="88">
        <f t="shared" si="0"/>
        <v>2122.8</v>
      </c>
      <c r="I10" s="89">
        <f>G10+G10/100*1.074</f>
        <v>178.799906</v>
      </c>
      <c r="J10" s="88">
        <f t="shared" si="1"/>
        <v>2145.598872</v>
      </c>
      <c r="K10" s="89">
        <f>G10+G10/100*3.957</f>
        <v>183.899933</v>
      </c>
      <c r="L10" s="88">
        <f t="shared" si="2"/>
        <v>2206.799196</v>
      </c>
      <c r="M10" s="88">
        <f t="shared" si="3"/>
        <v>12</v>
      </c>
    </row>
    <row r="11" spans="1:13" ht="12" customHeight="1" thickBot="1" thickTop="1">
      <c r="A11" s="106"/>
      <c r="B11" s="107"/>
      <c r="C11" s="107"/>
      <c r="D11" s="108"/>
      <c r="E11" s="96">
        <v>2</v>
      </c>
      <c r="F11" s="96">
        <v>3</v>
      </c>
      <c r="G11" s="89">
        <v>176.9</v>
      </c>
      <c r="H11" s="84">
        <f t="shared" si="0"/>
        <v>1061.4</v>
      </c>
      <c r="I11" s="85">
        <f>G11+G11/100*1.074</f>
        <v>178.799906</v>
      </c>
      <c r="J11" s="84">
        <f t="shared" si="1"/>
        <v>1072.799436</v>
      </c>
      <c r="K11" s="85">
        <f>G11+G11/100*3.957</f>
        <v>183.899933</v>
      </c>
      <c r="L11" s="84">
        <f>K11*M11</f>
        <v>1103.399598</v>
      </c>
      <c r="M11" s="84">
        <f>E11*F11</f>
        <v>6</v>
      </c>
    </row>
    <row r="12" spans="1:13" ht="12" customHeight="1" thickBot="1" thickTop="1">
      <c r="A12" s="129"/>
      <c r="B12" s="127"/>
      <c r="C12" s="127"/>
      <c r="D12" s="128"/>
      <c r="E12" s="97">
        <v>2</v>
      </c>
      <c r="F12" s="97">
        <v>1.5</v>
      </c>
      <c r="G12" s="89">
        <v>176.9</v>
      </c>
      <c r="H12" s="86">
        <f t="shared" si="0"/>
        <v>530.7</v>
      </c>
      <c r="I12" s="87">
        <f>G12+G12/100*1.074</f>
        <v>178.799906</v>
      </c>
      <c r="J12" s="86">
        <f t="shared" si="1"/>
        <v>536.399718</v>
      </c>
      <c r="K12" s="87">
        <f>G12+G12/100*3.957</f>
        <v>183.899933</v>
      </c>
      <c r="L12" s="86">
        <f t="shared" si="2"/>
        <v>551.699799</v>
      </c>
      <c r="M12" s="86">
        <f t="shared" si="3"/>
        <v>3</v>
      </c>
    </row>
    <row r="13" spans="1:13" ht="12" customHeight="1" thickBot="1" thickTop="1">
      <c r="A13" s="106" t="s">
        <v>122</v>
      </c>
      <c r="B13" s="127"/>
      <c r="C13" s="70"/>
      <c r="D13" s="71"/>
      <c r="E13" s="98">
        <v>2</v>
      </c>
      <c r="F13" s="100">
        <v>6</v>
      </c>
      <c r="G13" s="89">
        <v>133</v>
      </c>
      <c r="H13" s="88">
        <f t="shared" si="0"/>
        <v>1596</v>
      </c>
      <c r="I13" s="89">
        <f>G13+G13/100*1.4288</f>
        <v>134.900304</v>
      </c>
      <c r="J13" s="88">
        <f t="shared" si="1"/>
        <v>1618.803648</v>
      </c>
      <c r="K13" s="89">
        <f>G13+G13/100*4.887</f>
        <v>139.49971</v>
      </c>
      <c r="L13" s="92">
        <f t="shared" si="2"/>
        <v>1673.99652</v>
      </c>
      <c r="M13" s="88">
        <f t="shared" si="3"/>
        <v>12</v>
      </c>
    </row>
    <row r="14" spans="1:13" ht="12" customHeight="1" thickBot="1" thickTop="1">
      <c r="A14" s="106"/>
      <c r="B14" s="127"/>
      <c r="C14" s="70"/>
      <c r="D14" s="71"/>
      <c r="E14" s="96">
        <v>2</v>
      </c>
      <c r="F14" s="101">
        <v>3</v>
      </c>
      <c r="G14" s="85">
        <v>133</v>
      </c>
      <c r="H14" s="84">
        <f t="shared" si="0"/>
        <v>798</v>
      </c>
      <c r="I14" s="85">
        <f>G14+G14/100*1.4288</f>
        <v>134.900304</v>
      </c>
      <c r="J14" s="84">
        <f t="shared" si="1"/>
        <v>809.401824</v>
      </c>
      <c r="K14" s="85">
        <f>G14+G14/100*4.887</f>
        <v>139.49971</v>
      </c>
      <c r="L14" s="93">
        <f t="shared" si="2"/>
        <v>836.99826</v>
      </c>
      <c r="M14" s="84">
        <f t="shared" si="3"/>
        <v>6</v>
      </c>
    </row>
    <row r="15" spans="1:13" ht="12.75" customHeight="1" thickBot="1" thickTop="1">
      <c r="A15" s="129"/>
      <c r="B15" s="127"/>
      <c r="C15" s="70"/>
      <c r="D15" s="71"/>
      <c r="E15" s="97">
        <v>2</v>
      </c>
      <c r="F15" s="97">
        <v>1</v>
      </c>
      <c r="G15" s="87">
        <v>133</v>
      </c>
      <c r="H15" s="86">
        <f t="shared" si="0"/>
        <v>266</v>
      </c>
      <c r="I15" s="87">
        <f>G15+G15/100*1.4288</f>
        <v>134.900304</v>
      </c>
      <c r="J15" s="86">
        <f t="shared" si="1"/>
        <v>269.800608</v>
      </c>
      <c r="K15" s="87">
        <f>G15+G15/100*4.887</f>
        <v>139.49971</v>
      </c>
      <c r="L15" s="86">
        <f t="shared" si="2"/>
        <v>278.99942</v>
      </c>
      <c r="M15" s="86">
        <f t="shared" si="3"/>
        <v>2</v>
      </c>
    </row>
    <row r="16" spans="1:13" ht="12" customHeight="1" thickBot="1" thickTop="1">
      <c r="A16" s="110" t="s">
        <v>119</v>
      </c>
      <c r="B16" s="127"/>
      <c r="C16" s="70"/>
      <c r="D16" s="71"/>
      <c r="E16" s="98">
        <v>2</v>
      </c>
      <c r="F16" s="98">
        <v>3</v>
      </c>
      <c r="G16" s="89">
        <v>117.7</v>
      </c>
      <c r="H16" s="88">
        <f t="shared" si="0"/>
        <v>706.2</v>
      </c>
      <c r="I16" s="89">
        <f>G16+G16/100*1.53</f>
        <v>119.50081</v>
      </c>
      <c r="J16" s="88">
        <f t="shared" si="1"/>
        <v>717.00486</v>
      </c>
      <c r="K16" s="89">
        <f>G16+G16/100*4.9278</f>
        <v>123.5000206</v>
      </c>
      <c r="L16" s="88">
        <f aca="true" t="shared" si="4" ref="L16:L25">K16*M16</f>
        <v>741.0001236</v>
      </c>
      <c r="M16" s="88">
        <f aca="true" t="shared" si="5" ref="M16:M50">E16*F16</f>
        <v>6</v>
      </c>
    </row>
    <row r="17" spans="1:13" ht="12" customHeight="1" thickBot="1" thickTop="1">
      <c r="A17" s="110"/>
      <c r="B17" s="127"/>
      <c r="C17" s="70"/>
      <c r="D17" s="71"/>
      <c r="E17" s="96">
        <v>2</v>
      </c>
      <c r="F17" s="96">
        <v>1.5</v>
      </c>
      <c r="G17" s="89">
        <v>117.7</v>
      </c>
      <c r="H17" s="84">
        <f t="shared" si="0"/>
        <v>353.1</v>
      </c>
      <c r="I17" s="85">
        <f>G17+G17/100*1.53</f>
        <v>119.50081</v>
      </c>
      <c r="J17" s="84">
        <f t="shared" si="1"/>
        <v>358.50243</v>
      </c>
      <c r="K17" s="85">
        <f>G17+G17/100*4.9278</f>
        <v>123.5000206</v>
      </c>
      <c r="L17" s="84">
        <f t="shared" si="4"/>
        <v>370.5000618</v>
      </c>
      <c r="M17" s="84">
        <f t="shared" si="5"/>
        <v>3</v>
      </c>
    </row>
    <row r="18" spans="1:13" ht="12" customHeight="1" thickBot="1" thickTop="1">
      <c r="A18" s="129"/>
      <c r="B18" s="127"/>
      <c r="C18" s="70"/>
      <c r="D18" s="71"/>
      <c r="E18" s="97">
        <v>2</v>
      </c>
      <c r="F18" s="97">
        <v>1</v>
      </c>
      <c r="G18" s="89">
        <v>117.7</v>
      </c>
      <c r="H18" s="86">
        <f t="shared" si="0"/>
        <v>235.4</v>
      </c>
      <c r="I18" s="87">
        <f>G18+G18/100*1.53</f>
        <v>119.50081</v>
      </c>
      <c r="J18" s="86">
        <f t="shared" si="1"/>
        <v>239.00162</v>
      </c>
      <c r="K18" s="87">
        <f>G18+G18/100*4.9278</f>
        <v>123.5000206</v>
      </c>
      <c r="L18" s="86">
        <f t="shared" si="4"/>
        <v>247.0000412</v>
      </c>
      <c r="M18" s="86">
        <f t="shared" si="5"/>
        <v>2</v>
      </c>
    </row>
    <row r="19" spans="1:13" ht="14.25" customHeight="1" thickBot="1" thickTop="1">
      <c r="A19" s="130" t="s">
        <v>145</v>
      </c>
      <c r="B19" s="131"/>
      <c r="C19" s="131"/>
      <c r="D19" s="132"/>
      <c r="E19" s="99">
        <v>2</v>
      </c>
      <c r="F19" s="99">
        <v>3</v>
      </c>
      <c r="G19" s="91">
        <v>79.2</v>
      </c>
      <c r="H19" s="90">
        <f t="shared" si="0"/>
        <v>475.20000000000005</v>
      </c>
      <c r="I19" s="91">
        <f>G19+G19/100*2.651</f>
        <v>81.299592</v>
      </c>
      <c r="J19" s="90">
        <f t="shared" si="1"/>
        <v>487.797552</v>
      </c>
      <c r="K19" s="91">
        <f>G19+G19/100*5.935</f>
        <v>83.90052</v>
      </c>
      <c r="L19" s="90">
        <f t="shared" si="4"/>
        <v>503.40312</v>
      </c>
      <c r="M19" s="90">
        <f t="shared" si="5"/>
        <v>6</v>
      </c>
    </row>
    <row r="20" spans="1:13" ht="11.25" customHeight="1" thickBot="1" thickTop="1">
      <c r="A20" s="112" t="s">
        <v>136</v>
      </c>
      <c r="B20" s="127"/>
      <c r="C20" s="72"/>
      <c r="D20" s="73"/>
      <c r="E20" s="98">
        <v>1</v>
      </c>
      <c r="F20" s="98">
        <v>2</v>
      </c>
      <c r="G20" s="89">
        <v>63.8</v>
      </c>
      <c r="H20" s="88">
        <f t="shared" si="0"/>
        <v>127.6</v>
      </c>
      <c r="I20" s="89">
        <f>G20+G20/100*2.668</f>
        <v>65.502184</v>
      </c>
      <c r="J20" s="88">
        <f t="shared" si="1"/>
        <v>131.004368</v>
      </c>
      <c r="K20" s="89">
        <f>G20+G20/100*5.801</f>
        <v>67.501038</v>
      </c>
      <c r="L20" s="88">
        <f>K20*M20</f>
        <v>135.002076</v>
      </c>
      <c r="M20" s="88">
        <f>E20*F20</f>
        <v>2</v>
      </c>
    </row>
    <row r="21" spans="1:13" ht="12.75" customHeight="1" thickBot="1" thickTop="1">
      <c r="A21" s="129"/>
      <c r="B21" s="127"/>
      <c r="C21" s="74"/>
      <c r="D21" s="75"/>
      <c r="E21" s="97">
        <v>2</v>
      </c>
      <c r="F21" s="97">
        <v>3</v>
      </c>
      <c r="G21" s="87">
        <v>63.8</v>
      </c>
      <c r="H21" s="86">
        <f t="shared" si="0"/>
        <v>382.79999999999995</v>
      </c>
      <c r="I21" s="87">
        <f>G21+G21/100*2.664</f>
        <v>65.49963199999999</v>
      </c>
      <c r="J21" s="86">
        <f t="shared" si="1"/>
        <v>392.99779199999995</v>
      </c>
      <c r="K21" s="87">
        <f>G21+G21/100*5.799</f>
        <v>67.499762</v>
      </c>
      <c r="L21" s="86">
        <f>K21*M21</f>
        <v>404.998572</v>
      </c>
      <c r="M21" s="86">
        <f>E21*F21</f>
        <v>6</v>
      </c>
    </row>
    <row r="22" spans="1:13" ht="12.75" customHeight="1" thickBot="1" thickTop="1">
      <c r="A22" s="124" t="s">
        <v>146</v>
      </c>
      <c r="B22" s="125"/>
      <c r="C22" s="125"/>
      <c r="D22" s="126"/>
      <c r="E22" s="98">
        <v>2</v>
      </c>
      <c r="F22" s="98">
        <v>6</v>
      </c>
      <c r="G22" s="89">
        <v>209.3</v>
      </c>
      <c r="H22" s="88">
        <f t="shared" si="0"/>
        <v>2511.6000000000004</v>
      </c>
      <c r="I22" s="89">
        <f>G22+G22/100*0.8124</f>
        <v>211.0003532</v>
      </c>
      <c r="J22" s="88">
        <f t="shared" si="1"/>
        <v>2532.0042384</v>
      </c>
      <c r="K22" s="89">
        <f>G22+G22/100*2.628</f>
        <v>214.80040400000001</v>
      </c>
      <c r="L22" s="88">
        <f>K22*M22</f>
        <v>2577.604848</v>
      </c>
      <c r="M22" s="88">
        <f>E22*F22</f>
        <v>12</v>
      </c>
    </row>
    <row r="23" spans="1:13" ht="12" customHeight="1" thickBot="1" thickTop="1">
      <c r="A23" s="124"/>
      <c r="B23" s="125"/>
      <c r="C23" s="125"/>
      <c r="D23" s="126"/>
      <c r="E23" s="97">
        <v>2</v>
      </c>
      <c r="F23" s="97">
        <v>3</v>
      </c>
      <c r="G23" s="89">
        <v>209.3</v>
      </c>
      <c r="H23" s="86">
        <f t="shared" si="0"/>
        <v>1255.8000000000002</v>
      </c>
      <c r="I23" s="87">
        <f>G23+G23/100*0.8124</f>
        <v>211.0003532</v>
      </c>
      <c r="J23" s="86">
        <f t="shared" si="1"/>
        <v>1266.0021192</v>
      </c>
      <c r="K23" s="87">
        <f>G23+G23/100*2.628</f>
        <v>214.80040400000001</v>
      </c>
      <c r="L23" s="86">
        <f t="shared" si="4"/>
        <v>1288.802424</v>
      </c>
      <c r="M23" s="86">
        <f t="shared" si="5"/>
        <v>6</v>
      </c>
    </row>
    <row r="24" spans="1:13" ht="12" customHeight="1" thickBot="1" thickTop="1">
      <c r="A24" s="124" t="s">
        <v>147</v>
      </c>
      <c r="B24" s="125"/>
      <c r="C24" s="125"/>
      <c r="D24" s="126"/>
      <c r="E24" s="98">
        <v>2</v>
      </c>
      <c r="F24" s="98">
        <v>6</v>
      </c>
      <c r="G24" s="89">
        <v>148.2</v>
      </c>
      <c r="H24" s="88">
        <f t="shared" si="0"/>
        <v>1778.3999999999999</v>
      </c>
      <c r="I24" s="89">
        <f>G24+G24/100*1.0798</f>
        <v>149.8002636</v>
      </c>
      <c r="J24" s="88">
        <f t="shared" si="1"/>
        <v>1797.6031632</v>
      </c>
      <c r="K24" s="89">
        <f>G24+G24/100*3.981</f>
        <v>154.099842</v>
      </c>
      <c r="L24" s="88">
        <f t="shared" si="4"/>
        <v>1849.198104</v>
      </c>
      <c r="M24" s="88">
        <f>E24*F24</f>
        <v>12</v>
      </c>
    </row>
    <row r="25" spans="1:13" ht="12" customHeight="1" thickBot="1" thickTop="1">
      <c r="A25" s="124"/>
      <c r="B25" s="125"/>
      <c r="C25" s="125"/>
      <c r="D25" s="126"/>
      <c r="E25" s="97">
        <v>2</v>
      </c>
      <c r="F25" s="97">
        <v>3</v>
      </c>
      <c r="G25" s="87">
        <v>148.2</v>
      </c>
      <c r="H25" s="86">
        <f t="shared" si="0"/>
        <v>889.1999999999999</v>
      </c>
      <c r="I25" s="87">
        <f>G25+G25/100*1.0798</f>
        <v>149.8002636</v>
      </c>
      <c r="J25" s="86">
        <f t="shared" si="1"/>
        <v>898.8015816</v>
      </c>
      <c r="K25" s="87">
        <f>G25+G25/100*3.981</f>
        <v>154.099842</v>
      </c>
      <c r="L25" s="86">
        <f t="shared" si="4"/>
        <v>924.599052</v>
      </c>
      <c r="M25" s="86">
        <f>E25*F25</f>
        <v>6</v>
      </c>
    </row>
    <row r="26" spans="1:13" ht="12.75" customHeight="1" thickBot="1" thickTop="1">
      <c r="A26" s="124" t="s">
        <v>148</v>
      </c>
      <c r="B26" s="125"/>
      <c r="C26" s="125"/>
      <c r="D26" s="126"/>
      <c r="E26" s="98">
        <v>2</v>
      </c>
      <c r="F26" s="98">
        <v>6</v>
      </c>
      <c r="G26" s="89">
        <v>125.7</v>
      </c>
      <c r="H26" s="88">
        <f t="shared" si="0"/>
        <v>1508.4</v>
      </c>
      <c r="I26" s="89">
        <f>G26+G26/100*1.1936</f>
        <v>127.2003552</v>
      </c>
      <c r="J26" s="88">
        <f t="shared" si="1"/>
        <v>1526.4042624</v>
      </c>
      <c r="K26" s="89">
        <f>G26+G26/100*4.057</f>
        <v>130.79964900000002</v>
      </c>
      <c r="L26" s="88">
        <f aca="true" t="shared" si="6" ref="L26:L32">K26*M26</f>
        <v>1569.595788</v>
      </c>
      <c r="M26" s="88">
        <f t="shared" si="5"/>
        <v>12</v>
      </c>
    </row>
    <row r="27" spans="1:13" ht="12" customHeight="1" thickBot="1" thickTop="1">
      <c r="A27" s="124"/>
      <c r="B27" s="125"/>
      <c r="C27" s="125"/>
      <c r="D27" s="126"/>
      <c r="E27" s="97">
        <v>2</v>
      </c>
      <c r="F27" s="97">
        <v>3</v>
      </c>
      <c r="G27" s="87">
        <v>125.7</v>
      </c>
      <c r="H27" s="86">
        <f t="shared" si="0"/>
        <v>754.2</v>
      </c>
      <c r="I27" s="87">
        <f>G27+G27/100*1.1936</f>
        <v>127.2003552</v>
      </c>
      <c r="J27" s="86">
        <f t="shared" si="1"/>
        <v>763.2021312</v>
      </c>
      <c r="K27" s="87">
        <f>G27+G27/100*4.057</f>
        <v>130.79964900000002</v>
      </c>
      <c r="L27" s="86">
        <f t="shared" si="6"/>
        <v>784.797894</v>
      </c>
      <c r="M27" s="86">
        <f t="shared" si="5"/>
        <v>6</v>
      </c>
    </row>
    <row r="28" spans="1:13" ht="11.25" customHeight="1" thickBot="1" thickTop="1">
      <c r="A28" s="112" t="s">
        <v>134</v>
      </c>
      <c r="B28" s="113"/>
      <c r="C28" s="113"/>
      <c r="D28" s="114"/>
      <c r="E28" s="98">
        <v>2</v>
      </c>
      <c r="F28" s="98">
        <v>6</v>
      </c>
      <c r="G28" s="89">
        <v>95.5</v>
      </c>
      <c r="H28" s="88">
        <f t="shared" si="0"/>
        <v>1146</v>
      </c>
      <c r="I28" s="89">
        <f>G28+G28/100*1.78</f>
        <v>97.1999</v>
      </c>
      <c r="J28" s="88">
        <f t="shared" si="1"/>
        <v>1166.3988</v>
      </c>
      <c r="K28" s="89">
        <f>G28+G28/100*5.026</f>
        <v>100.29983</v>
      </c>
      <c r="L28" s="88">
        <f t="shared" si="6"/>
        <v>1203.59796</v>
      </c>
      <c r="M28" s="88">
        <f>E28*F28</f>
        <v>12</v>
      </c>
    </row>
    <row r="29" spans="1:13" ht="12" customHeight="1" thickBot="1" thickTop="1">
      <c r="A29" s="112"/>
      <c r="B29" s="113"/>
      <c r="C29" s="113"/>
      <c r="D29" s="114"/>
      <c r="E29" s="97">
        <v>2</v>
      </c>
      <c r="F29" s="97">
        <v>3</v>
      </c>
      <c r="G29" s="87">
        <v>95.5</v>
      </c>
      <c r="H29" s="86">
        <f t="shared" si="0"/>
        <v>573</v>
      </c>
      <c r="I29" s="87">
        <f>G29+G29/100*1.78</f>
        <v>97.1999</v>
      </c>
      <c r="J29" s="86">
        <f t="shared" si="1"/>
        <v>583.1994</v>
      </c>
      <c r="K29" s="87">
        <f>G29+G29/100*5.026</f>
        <v>100.29983</v>
      </c>
      <c r="L29" s="86">
        <f t="shared" si="6"/>
        <v>601.79898</v>
      </c>
      <c r="M29" s="86">
        <f t="shared" si="5"/>
        <v>6</v>
      </c>
    </row>
    <row r="30" spans="1:13" ht="12" customHeight="1" thickBot="1" thickTop="1">
      <c r="A30" s="112" t="s">
        <v>155</v>
      </c>
      <c r="B30" s="113"/>
      <c r="C30" s="113"/>
      <c r="D30" s="114"/>
      <c r="E30" s="98">
        <v>2</v>
      </c>
      <c r="F30" s="98">
        <v>6</v>
      </c>
      <c r="G30" s="89">
        <v>82.2</v>
      </c>
      <c r="H30" s="88">
        <f t="shared" si="0"/>
        <v>986.4000000000001</v>
      </c>
      <c r="I30" s="89">
        <f>G30+G30/100*1.703</f>
        <v>83.599866</v>
      </c>
      <c r="J30" s="88">
        <f t="shared" si="1"/>
        <v>1003.198392</v>
      </c>
      <c r="K30" s="89">
        <f>G30+G30/100*4.988</f>
        <v>86.30013600000001</v>
      </c>
      <c r="L30" s="88">
        <f t="shared" si="6"/>
        <v>1035.601632</v>
      </c>
      <c r="M30" s="88">
        <f>E30*F30</f>
        <v>12</v>
      </c>
    </row>
    <row r="31" spans="1:13" ht="12" customHeight="1" thickBot="1" thickTop="1">
      <c r="A31" s="112"/>
      <c r="B31" s="113"/>
      <c r="C31" s="113"/>
      <c r="D31" s="114"/>
      <c r="E31" s="97">
        <v>2</v>
      </c>
      <c r="F31" s="97">
        <v>3</v>
      </c>
      <c r="G31" s="87">
        <v>82.2</v>
      </c>
      <c r="H31" s="86">
        <f t="shared" si="0"/>
        <v>493.20000000000005</v>
      </c>
      <c r="I31" s="87">
        <f>G31+G31/100*1.703</f>
        <v>83.599866</v>
      </c>
      <c r="J31" s="86">
        <f t="shared" si="1"/>
        <v>501.599196</v>
      </c>
      <c r="K31" s="87">
        <f>G31+G31/100*4.988</f>
        <v>86.30013600000001</v>
      </c>
      <c r="L31" s="86">
        <f t="shared" si="6"/>
        <v>517.800816</v>
      </c>
      <c r="M31" s="86">
        <f>E31*F31</f>
        <v>6</v>
      </c>
    </row>
    <row r="32" spans="1:13" ht="11.25" customHeight="1" thickBot="1" thickTop="1">
      <c r="A32" s="110" t="s">
        <v>149</v>
      </c>
      <c r="B32" s="116"/>
      <c r="C32" s="76"/>
      <c r="D32" s="77"/>
      <c r="E32" s="98">
        <v>2</v>
      </c>
      <c r="F32" s="98">
        <v>6</v>
      </c>
      <c r="G32" s="89">
        <v>156.2</v>
      </c>
      <c r="H32" s="88">
        <f t="shared" si="0"/>
        <v>1874.3999999999999</v>
      </c>
      <c r="I32" s="89">
        <f>G32+G32/100*0.9605</f>
        <v>157.700301</v>
      </c>
      <c r="J32" s="88">
        <f t="shared" si="1"/>
        <v>1892.403612</v>
      </c>
      <c r="K32" s="89">
        <f>G32+G32/100*3.073</f>
        <v>161.000026</v>
      </c>
      <c r="L32" s="88">
        <f t="shared" si="6"/>
        <v>1932.000312</v>
      </c>
      <c r="M32" s="88">
        <f t="shared" si="5"/>
        <v>12</v>
      </c>
    </row>
    <row r="33" spans="1:15" ht="12" customHeight="1" thickBot="1" thickTop="1">
      <c r="A33" s="117"/>
      <c r="B33" s="116"/>
      <c r="C33" s="74"/>
      <c r="D33" s="75"/>
      <c r="E33" s="97">
        <v>2</v>
      </c>
      <c r="F33" s="97">
        <v>3</v>
      </c>
      <c r="G33" s="87">
        <v>156.2</v>
      </c>
      <c r="H33" s="86">
        <f t="shared" si="0"/>
        <v>937.1999999999999</v>
      </c>
      <c r="I33" s="87">
        <f>G33+G33/100*0.9605</f>
        <v>157.700301</v>
      </c>
      <c r="J33" s="86">
        <f t="shared" si="1"/>
        <v>946.201806</v>
      </c>
      <c r="K33" s="87">
        <f>G33+G33/100*3.073</f>
        <v>161.000026</v>
      </c>
      <c r="L33" s="86">
        <f aca="true" t="shared" si="7" ref="L33:L40">K33*M33</f>
        <v>966.000156</v>
      </c>
      <c r="M33" s="86">
        <f t="shared" si="5"/>
        <v>6</v>
      </c>
      <c r="O33" s="65"/>
    </row>
    <row r="34" spans="1:13" ht="12" customHeight="1" thickBot="1" thickTop="1">
      <c r="A34" s="106" t="s">
        <v>142</v>
      </c>
      <c r="B34" s="115"/>
      <c r="C34" s="74"/>
      <c r="D34" s="75"/>
      <c r="E34" s="98">
        <v>2</v>
      </c>
      <c r="F34" s="98">
        <v>6</v>
      </c>
      <c r="G34" s="89">
        <v>108.1</v>
      </c>
      <c r="H34" s="88">
        <f t="shared" si="0"/>
        <v>1297.1999999999998</v>
      </c>
      <c r="I34" s="89">
        <f>G34+G34/100*2.8677</f>
        <v>111.19998369999999</v>
      </c>
      <c r="J34" s="88">
        <f t="shared" si="1"/>
        <v>1334.3998044</v>
      </c>
      <c r="K34" s="89">
        <f>G34+G34/100*5.9208</f>
        <v>114.50038479999999</v>
      </c>
      <c r="L34" s="88">
        <f t="shared" si="7"/>
        <v>1374.0046175999998</v>
      </c>
      <c r="M34" s="88">
        <f t="shared" si="5"/>
        <v>12</v>
      </c>
    </row>
    <row r="35" spans="1:13" ht="12.75" customHeight="1" thickBot="1" thickTop="1">
      <c r="A35" s="133"/>
      <c r="B35" s="115"/>
      <c r="C35" s="68"/>
      <c r="D35" s="69"/>
      <c r="E35" s="97">
        <v>2</v>
      </c>
      <c r="F35" s="97">
        <v>3</v>
      </c>
      <c r="G35" s="87">
        <v>108.1</v>
      </c>
      <c r="H35" s="86">
        <f t="shared" si="0"/>
        <v>648.5999999999999</v>
      </c>
      <c r="I35" s="87">
        <f>G35+G35/100*2.8677</f>
        <v>111.19998369999999</v>
      </c>
      <c r="J35" s="86">
        <f t="shared" si="1"/>
        <v>667.1999022</v>
      </c>
      <c r="K35" s="87">
        <f>G35+G35/100*5.9208</f>
        <v>114.50038479999999</v>
      </c>
      <c r="L35" s="86">
        <f t="shared" si="7"/>
        <v>687.0023087999999</v>
      </c>
      <c r="M35" s="86">
        <f t="shared" si="5"/>
        <v>6</v>
      </c>
    </row>
    <row r="36" spans="1:13" ht="12.75" customHeight="1" thickBot="1" thickTop="1">
      <c r="A36" s="106" t="s">
        <v>156</v>
      </c>
      <c r="B36" s="115"/>
      <c r="C36" s="74"/>
      <c r="D36" s="75"/>
      <c r="E36" s="98">
        <v>2</v>
      </c>
      <c r="F36" s="98">
        <v>6</v>
      </c>
      <c r="G36" s="89">
        <v>102.1</v>
      </c>
      <c r="H36" s="88">
        <f t="shared" si="0"/>
        <v>1225.1999999999998</v>
      </c>
      <c r="I36" s="89">
        <f>G36+G36/100*2.84</f>
        <v>104.99964</v>
      </c>
      <c r="J36" s="88">
        <f t="shared" si="1"/>
        <v>1259.99568</v>
      </c>
      <c r="K36" s="89">
        <f>G36+G36/100*5.9748</f>
        <v>108.2002708</v>
      </c>
      <c r="L36" s="88">
        <f>K36*M36</f>
        <v>1298.4032496</v>
      </c>
      <c r="M36" s="88">
        <f>E36*F36</f>
        <v>12</v>
      </c>
    </row>
    <row r="37" spans="1:13" ht="12.75" customHeight="1" thickBot="1" thickTop="1">
      <c r="A37" s="133"/>
      <c r="B37" s="115"/>
      <c r="C37" s="68"/>
      <c r="D37" s="69"/>
      <c r="E37" s="97">
        <v>2</v>
      </c>
      <c r="F37" s="97">
        <v>3</v>
      </c>
      <c r="G37" s="87">
        <v>102.1</v>
      </c>
      <c r="H37" s="86">
        <f aca="true" t="shared" si="8" ref="H37:H57">G37*M37</f>
        <v>612.5999999999999</v>
      </c>
      <c r="I37" s="87">
        <f>G37+G37/100*2.84</f>
        <v>104.99964</v>
      </c>
      <c r="J37" s="86">
        <f aca="true" t="shared" si="9" ref="J37:J57">I37*M37</f>
        <v>629.99784</v>
      </c>
      <c r="K37" s="87">
        <f>G37+G37/100*5.9748</f>
        <v>108.2002708</v>
      </c>
      <c r="L37" s="86">
        <f>K37*M37</f>
        <v>649.2016248</v>
      </c>
      <c r="M37" s="86">
        <f>E37*F37</f>
        <v>6</v>
      </c>
    </row>
    <row r="38" spans="1:155" ht="12" customHeight="1" thickBot="1" thickTop="1">
      <c r="A38" s="106" t="s">
        <v>143</v>
      </c>
      <c r="B38" s="115"/>
      <c r="C38" s="68"/>
      <c r="D38" s="69"/>
      <c r="E38" s="98">
        <v>2</v>
      </c>
      <c r="F38" s="98">
        <v>6</v>
      </c>
      <c r="G38" s="89">
        <v>81.4</v>
      </c>
      <c r="H38" s="88">
        <f t="shared" si="8"/>
        <v>976.8000000000001</v>
      </c>
      <c r="I38" s="89">
        <f>G38+G38/100*1.72</f>
        <v>82.80008000000001</v>
      </c>
      <c r="J38" s="88">
        <f t="shared" si="9"/>
        <v>993.6009600000001</v>
      </c>
      <c r="K38" s="89">
        <f>G38+G38/100*4.914</f>
        <v>85.399996</v>
      </c>
      <c r="L38" s="88">
        <f>K38*M38</f>
        <v>1024.799952</v>
      </c>
      <c r="M38" s="88">
        <f t="shared" si="5"/>
        <v>12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</row>
    <row r="39" spans="1:155" ht="12.75" customHeight="1" thickBot="1" thickTop="1">
      <c r="A39" s="106"/>
      <c r="B39" s="115"/>
      <c r="C39" s="68"/>
      <c r="D39" s="69"/>
      <c r="E39" s="97">
        <v>2</v>
      </c>
      <c r="F39" s="97">
        <v>3</v>
      </c>
      <c r="G39" s="87">
        <v>81.4</v>
      </c>
      <c r="H39" s="86">
        <f t="shared" si="8"/>
        <v>488.40000000000003</v>
      </c>
      <c r="I39" s="87">
        <f>G39+G39/100*1.72</f>
        <v>82.80008000000001</v>
      </c>
      <c r="J39" s="86">
        <f t="shared" si="9"/>
        <v>496.80048000000005</v>
      </c>
      <c r="K39" s="87">
        <f>G39+G39/100*4.914</f>
        <v>85.399996</v>
      </c>
      <c r="L39" s="86">
        <f t="shared" si="7"/>
        <v>512.399976</v>
      </c>
      <c r="M39" s="86">
        <f t="shared" si="5"/>
        <v>6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</row>
    <row r="40" spans="1:155" ht="15" customHeight="1" thickBot="1" thickTop="1">
      <c r="A40" s="106" t="s">
        <v>150</v>
      </c>
      <c r="B40" s="115"/>
      <c r="C40" s="68"/>
      <c r="D40" s="69"/>
      <c r="E40" s="99">
        <v>2</v>
      </c>
      <c r="F40" s="99">
        <v>3</v>
      </c>
      <c r="G40" s="91">
        <v>72.9</v>
      </c>
      <c r="H40" s="90">
        <f t="shared" si="8"/>
        <v>437.40000000000003</v>
      </c>
      <c r="I40" s="91">
        <f>G40+G40/100*1.783</f>
        <v>74.199807</v>
      </c>
      <c r="J40" s="90">
        <f t="shared" si="9"/>
        <v>445.198842</v>
      </c>
      <c r="K40" s="91">
        <f>G40+G40/100*4.939</f>
        <v>76.50053100000001</v>
      </c>
      <c r="L40" s="90">
        <f t="shared" si="7"/>
        <v>459.003186</v>
      </c>
      <c r="M40" s="90">
        <f>E40*F40</f>
        <v>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</row>
    <row r="41" spans="1:13" ht="12" customHeight="1" thickBot="1" thickTop="1">
      <c r="A41" s="130" t="s">
        <v>123</v>
      </c>
      <c r="B41" s="131"/>
      <c r="C41" s="131"/>
      <c r="D41" s="132"/>
      <c r="E41" s="98">
        <v>1.6</v>
      </c>
      <c r="F41" s="98">
        <v>3.6</v>
      </c>
      <c r="G41" s="89">
        <v>81.4</v>
      </c>
      <c r="H41" s="88">
        <f t="shared" si="8"/>
        <v>468.8640000000001</v>
      </c>
      <c r="I41" s="89">
        <f>G41+G41/100*1.722</f>
        <v>82.801708</v>
      </c>
      <c r="J41" s="88">
        <f t="shared" si="9"/>
        <v>476.93783808000006</v>
      </c>
      <c r="K41" s="89">
        <f>G41+G41/100*4.914</f>
        <v>85.399996</v>
      </c>
      <c r="L41" s="88">
        <f aca="true" t="shared" si="10" ref="L41:L66">K41*M41</f>
        <v>491.9039769600001</v>
      </c>
      <c r="M41" s="88">
        <f>E41*F41</f>
        <v>5.760000000000001</v>
      </c>
    </row>
    <row r="42" spans="1:13" ht="12" customHeight="1" thickBot="1" thickTop="1">
      <c r="A42" s="130"/>
      <c r="B42" s="131"/>
      <c r="C42" s="131"/>
      <c r="D42" s="132"/>
      <c r="E42" s="97">
        <v>1.75</v>
      </c>
      <c r="F42" s="97">
        <v>5.25</v>
      </c>
      <c r="G42" s="87">
        <v>100</v>
      </c>
      <c r="H42" s="86">
        <f t="shared" si="8"/>
        <v>918.75</v>
      </c>
      <c r="I42" s="87">
        <f>G42+G42/100*1.702</f>
        <v>101.702</v>
      </c>
      <c r="J42" s="86">
        <f t="shared" si="9"/>
        <v>934.387125</v>
      </c>
      <c r="K42" s="87">
        <f>G42+G42/100*4.903</f>
        <v>104.903</v>
      </c>
      <c r="L42" s="86">
        <f t="shared" si="10"/>
        <v>963.7963125</v>
      </c>
      <c r="M42" s="86">
        <f>E42*F42</f>
        <v>9.1875</v>
      </c>
    </row>
    <row r="43" spans="1:13" ht="13.5" customHeight="1" thickBot="1" thickTop="1">
      <c r="A43" s="106" t="s">
        <v>160</v>
      </c>
      <c r="B43" s="115"/>
      <c r="C43" s="68"/>
      <c r="D43" s="69"/>
      <c r="E43" s="99">
        <v>2</v>
      </c>
      <c r="F43" s="99">
        <v>3</v>
      </c>
      <c r="G43" s="91">
        <v>47.6</v>
      </c>
      <c r="H43" s="90">
        <f t="shared" si="8"/>
        <v>285.6</v>
      </c>
      <c r="I43" s="91">
        <f>G43+G43/100*2.52</f>
        <v>48.79952</v>
      </c>
      <c r="J43" s="90">
        <f t="shared" si="9"/>
        <v>292.79712</v>
      </c>
      <c r="K43" s="91">
        <f>G43+G43/100*5.672</f>
        <v>50.299872</v>
      </c>
      <c r="L43" s="90">
        <f t="shared" si="10"/>
        <v>301.799232</v>
      </c>
      <c r="M43" s="90">
        <f t="shared" si="5"/>
        <v>6</v>
      </c>
    </row>
    <row r="44" spans="1:13" ht="11.25" customHeight="1" thickBot="1" thickTop="1">
      <c r="A44" s="110" t="s">
        <v>151</v>
      </c>
      <c r="B44" s="111"/>
      <c r="C44" s="68"/>
      <c r="D44" s="69"/>
      <c r="E44" s="98">
        <v>0.5</v>
      </c>
      <c r="F44" s="98">
        <v>2</v>
      </c>
      <c r="G44" s="89">
        <v>429.7</v>
      </c>
      <c r="H44" s="88">
        <f t="shared" si="8"/>
        <v>429.7</v>
      </c>
      <c r="I44" s="89">
        <f>G44+G44/100*0.699</f>
        <v>432.703603</v>
      </c>
      <c r="J44" s="88">
        <f t="shared" si="9"/>
        <v>432.703603</v>
      </c>
      <c r="K44" s="89">
        <f>G44+G44/100*2.002</f>
        <v>438.302594</v>
      </c>
      <c r="L44" s="88">
        <f t="shared" si="10"/>
        <v>438.302594</v>
      </c>
      <c r="M44" s="88">
        <f t="shared" si="5"/>
        <v>1</v>
      </c>
    </row>
    <row r="45" spans="1:13" ht="12" customHeight="1" thickBot="1" thickTop="1">
      <c r="A45" s="110"/>
      <c r="B45" s="111"/>
      <c r="C45" s="68"/>
      <c r="D45" s="69"/>
      <c r="E45" s="97">
        <v>2</v>
      </c>
      <c r="F45" s="97">
        <v>3</v>
      </c>
      <c r="G45" s="87">
        <v>429.7</v>
      </c>
      <c r="H45" s="86">
        <f t="shared" si="8"/>
        <v>2578.2</v>
      </c>
      <c r="I45" s="87">
        <f>G45+G45/100*0.698</f>
        <v>432.699306</v>
      </c>
      <c r="J45" s="86">
        <f t="shared" si="9"/>
        <v>2596.195836</v>
      </c>
      <c r="K45" s="87">
        <f>G45+G45/100*2.002</f>
        <v>438.302594</v>
      </c>
      <c r="L45" s="86">
        <f t="shared" si="10"/>
        <v>2629.815564</v>
      </c>
      <c r="M45" s="86">
        <f t="shared" si="5"/>
        <v>6</v>
      </c>
    </row>
    <row r="46" spans="1:13" ht="12.75" customHeight="1" thickBot="1" thickTop="1">
      <c r="A46" s="110" t="s">
        <v>152</v>
      </c>
      <c r="B46" s="111"/>
      <c r="C46" s="68"/>
      <c r="D46" s="69"/>
      <c r="E46" s="98">
        <v>0.38</v>
      </c>
      <c r="F46" s="98">
        <v>2</v>
      </c>
      <c r="G46" s="89">
        <v>366.6</v>
      </c>
      <c r="H46" s="88">
        <f t="shared" si="8"/>
        <v>278.61600000000004</v>
      </c>
      <c r="I46" s="89">
        <f>G46+G46/100*0.71</f>
        <v>369.20286000000004</v>
      </c>
      <c r="J46" s="88">
        <f t="shared" si="9"/>
        <v>280.59417360000003</v>
      </c>
      <c r="K46" s="89">
        <f>G46+G46/100*1.963</f>
        <v>373.796358</v>
      </c>
      <c r="L46" s="88">
        <f t="shared" si="10"/>
        <v>284.08523208</v>
      </c>
      <c r="M46" s="88">
        <f t="shared" si="5"/>
        <v>0.76</v>
      </c>
    </row>
    <row r="47" spans="1:13" ht="11.25" customHeight="1" thickBot="1" thickTop="1">
      <c r="A47" s="110"/>
      <c r="B47" s="111"/>
      <c r="C47" s="68"/>
      <c r="D47" s="69"/>
      <c r="E47" s="96">
        <v>0.5</v>
      </c>
      <c r="F47" s="96">
        <v>2</v>
      </c>
      <c r="G47" s="89">
        <v>366.6</v>
      </c>
      <c r="H47" s="84">
        <f t="shared" si="8"/>
        <v>366.6</v>
      </c>
      <c r="I47" s="85">
        <f>G47+G47/100*0.71</f>
        <v>369.20286000000004</v>
      </c>
      <c r="J47" s="84">
        <f t="shared" si="9"/>
        <v>369.20286000000004</v>
      </c>
      <c r="K47" s="85">
        <f>G47+G47/100*1.963</f>
        <v>373.796358</v>
      </c>
      <c r="L47" s="84">
        <f>K47*M47</f>
        <v>373.796358</v>
      </c>
      <c r="M47" s="84">
        <f>E47*F47</f>
        <v>1</v>
      </c>
    </row>
    <row r="48" spans="1:13" ht="12" customHeight="1" thickBot="1" thickTop="1">
      <c r="A48" s="110"/>
      <c r="B48" s="111"/>
      <c r="C48" s="68"/>
      <c r="D48" s="69"/>
      <c r="E48" s="96">
        <v>0.62</v>
      </c>
      <c r="F48" s="96">
        <v>2</v>
      </c>
      <c r="G48" s="89">
        <v>366.6</v>
      </c>
      <c r="H48" s="84">
        <f t="shared" si="8"/>
        <v>454.584</v>
      </c>
      <c r="I48" s="85">
        <f>G48+G48/100*0.708</f>
        <v>369.195528</v>
      </c>
      <c r="J48" s="84">
        <f t="shared" si="9"/>
        <v>457.80245472</v>
      </c>
      <c r="K48" s="85">
        <f>G48+G48/100*1.963</f>
        <v>373.796358</v>
      </c>
      <c r="L48" s="84">
        <f t="shared" si="10"/>
        <v>463.50748391999997</v>
      </c>
      <c r="M48" s="84">
        <f t="shared" si="5"/>
        <v>1.24</v>
      </c>
    </row>
    <row r="49" spans="1:13" ht="11.25" customHeight="1" thickBot="1" thickTop="1">
      <c r="A49" s="110"/>
      <c r="B49" s="111"/>
      <c r="C49" s="68"/>
      <c r="D49" s="69"/>
      <c r="E49" s="96">
        <v>1</v>
      </c>
      <c r="F49" s="96">
        <v>2</v>
      </c>
      <c r="G49" s="89">
        <v>366.6</v>
      </c>
      <c r="H49" s="84">
        <f t="shared" si="8"/>
        <v>733.2</v>
      </c>
      <c r="I49" s="85">
        <f>G49+G49/100*0.709</f>
        <v>369.19919400000003</v>
      </c>
      <c r="J49" s="84">
        <f t="shared" si="9"/>
        <v>738.3983880000001</v>
      </c>
      <c r="K49" s="85">
        <f>G49+G49/100*1.964</f>
        <v>373.800024</v>
      </c>
      <c r="L49" s="84">
        <f>K49*M49</f>
        <v>747.600048</v>
      </c>
      <c r="M49" s="84">
        <f>E49*F49</f>
        <v>2</v>
      </c>
    </row>
    <row r="50" spans="1:15" ht="12" customHeight="1" thickBot="1" thickTop="1">
      <c r="A50" s="110"/>
      <c r="B50" s="111"/>
      <c r="C50" s="68"/>
      <c r="D50" s="69"/>
      <c r="E50" s="97">
        <v>2</v>
      </c>
      <c r="F50" s="97">
        <v>3</v>
      </c>
      <c r="G50" s="89">
        <v>366.6</v>
      </c>
      <c r="H50" s="86">
        <f t="shared" si="8"/>
        <v>2199.6000000000004</v>
      </c>
      <c r="I50" s="87">
        <f>G50+G50/100*0.709</f>
        <v>369.19919400000003</v>
      </c>
      <c r="J50" s="86">
        <f t="shared" si="9"/>
        <v>2215.195164</v>
      </c>
      <c r="K50" s="87">
        <f>G50+G50/100*1.9638</f>
        <v>373.79929080000005</v>
      </c>
      <c r="L50" s="86">
        <f t="shared" si="10"/>
        <v>2242.7957448</v>
      </c>
      <c r="M50" s="86">
        <f t="shared" si="5"/>
        <v>6</v>
      </c>
      <c r="O50" s="64"/>
    </row>
    <row r="51" spans="1:13" ht="12" customHeight="1" thickBot="1" thickTop="1">
      <c r="A51" s="110" t="s">
        <v>120</v>
      </c>
      <c r="B51" s="127"/>
      <c r="C51" s="127"/>
      <c r="D51" s="128"/>
      <c r="E51" s="98">
        <v>0.3</v>
      </c>
      <c r="F51" s="98">
        <v>2</v>
      </c>
      <c r="G51" s="89">
        <v>280.5</v>
      </c>
      <c r="H51" s="88">
        <f t="shared" si="8"/>
        <v>168.29999999999998</v>
      </c>
      <c r="I51" s="89">
        <f>G51+G51/100*0.856</f>
        <v>282.90108</v>
      </c>
      <c r="J51" s="88">
        <f t="shared" si="9"/>
        <v>169.740648</v>
      </c>
      <c r="K51" s="89">
        <f>G51+G51/100*2.818</f>
        <v>288.40449</v>
      </c>
      <c r="L51" s="88">
        <f t="shared" si="10"/>
        <v>173.042694</v>
      </c>
      <c r="M51" s="88">
        <f aca="true" t="shared" si="11" ref="M51:M67">E51*F51</f>
        <v>0.6</v>
      </c>
    </row>
    <row r="52" spans="1:13" ht="12" customHeight="1" thickBot="1" thickTop="1">
      <c r="A52" s="110"/>
      <c r="B52" s="127"/>
      <c r="C52" s="127"/>
      <c r="D52" s="128"/>
      <c r="E52" s="96">
        <v>0.38</v>
      </c>
      <c r="F52" s="96">
        <v>2</v>
      </c>
      <c r="G52" s="89">
        <v>280.5</v>
      </c>
      <c r="H52" s="84">
        <f t="shared" si="8"/>
        <v>213.18</v>
      </c>
      <c r="I52" s="85">
        <f>G52+G52/100*0.856</f>
        <v>282.90108</v>
      </c>
      <c r="J52" s="84">
        <f t="shared" si="9"/>
        <v>215.00482079999998</v>
      </c>
      <c r="K52" s="85">
        <f>G52+G52/100*2.818</f>
        <v>288.40449</v>
      </c>
      <c r="L52" s="84">
        <f t="shared" si="10"/>
        <v>219.1874124</v>
      </c>
      <c r="M52" s="84">
        <f t="shared" si="11"/>
        <v>0.76</v>
      </c>
    </row>
    <row r="53" spans="1:13" ht="12" customHeight="1" thickBot="1" thickTop="1">
      <c r="A53" s="129"/>
      <c r="B53" s="127"/>
      <c r="C53" s="127"/>
      <c r="D53" s="128"/>
      <c r="E53" s="96">
        <v>0.5</v>
      </c>
      <c r="F53" s="96">
        <v>2</v>
      </c>
      <c r="G53" s="89">
        <v>280.5</v>
      </c>
      <c r="H53" s="84">
        <f t="shared" si="8"/>
        <v>280.5</v>
      </c>
      <c r="I53" s="85">
        <f>G53+G53/100*0.856</f>
        <v>282.90108</v>
      </c>
      <c r="J53" s="84">
        <f t="shared" si="9"/>
        <v>282.90108</v>
      </c>
      <c r="K53" s="85">
        <f>G53+G53/100*2.818</f>
        <v>288.40449</v>
      </c>
      <c r="L53" s="84">
        <f t="shared" si="10"/>
        <v>288.40449</v>
      </c>
      <c r="M53" s="84">
        <f t="shared" si="11"/>
        <v>1</v>
      </c>
    </row>
    <row r="54" spans="1:13" ht="12" customHeight="1" thickBot="1" thickTop="1">
      <c r="A54" s="129"/>
      <c r="B54" s="127"/>
      <c r="C54" s="127"/>
      <c r="D54" s="128"/>
      <c r="E54" s="96">
        <v>1</v>
      </c>
      <c r="F54" s="96">
        <v>2</v>
      </c>
      <c r="G54" s="89">
        <v>280.5</v>
      </c>
      <c r="H54" s="84">
        <f t="shared" si="8"/>
        <v>561</v>
      </c>
      <c r="I54" s="85">
        <f>G54+G54/100*0.856</f>
        <v>282.90108</v>
      </c>
      <c r="J54" s="84">
        <f t="shared" si="9"/>
        <v>565.80216</v>
      </c>
      <c r="K54" s="85">
        <f>G54+G54/100*2.817</f>
        <v>288.401685</v>
      </c>
      <c r="L54" s="84">
        <f>K54*M54</f>
        <v>576.80337</v>
      </c>
      <c r="M54" s="84">
        <f>E54*F54</f>
        <v>2</v>
      </c>
    </row>
    <row r="55" spans="1:13" ht="12" customHeight="1" thickBot="1" thickTop="1">
      <c r="A55" s="129"/>
      <c r="B55" s="127"/>
      <c r="C55" s="127"/>
      <c r="D55" s="128"/>
      <c r="E55" s="96">
        <v>1.5</v>
      </c>
      <c r="F55" s="96">
        <v>2</v>
      </c>
      <c r="G55" s="89">
        <v>280.5</v>
      </c>
      <c r="H55" s="84">
        <f t="shared" si="8"/>
        <v>841.5</v>
      </c>
      <c r="I55" s="85">
        <f>G55+G55/100*0.856</f>
        <v>282.90108</v>
      </c>
      <c r="J55" s="84">
        <f t="shared" si="9"/>
        <v>848.7032399999999</v>
      </c>
      <c r="K55" s="85">
        <f>G55+G55/100*2.816</f>
        <v>288.39888</v>
      </c>
      <c r="L55" s="84">
        <f>K55*M55</f>
        <v>865.1966400000001</v>
      </c>
      <c r="M55" s="84">
        <f>E55*F55</f>
        <v>3</v>
      </c>
    </row>
    <row r="56" spans="1:13" ht="12.75" customHeight="1" thickBot="1" thickTop="1">
      <c r="A56" s="129"/>
      <c r="B56" s="127"/>
      <c r="C56" s="127"/>
      <c r="D56" s="128"/>
      <c r="E56" s="97">
        <v>2</v>
      </c>
      <c r="F56" s="97">
        <v>3</v>
      </c>
      <c r="G56" s="89">
        <v>280.5</v>
      </c>
      <c r="H56" s="86">
        <f t="shared" si="8"/>
        <v>1683</v>
      </c>
      <c r="I56" s="87">
        <f>G56+G56/100*0.8555</f>
        <v>282.8996775</v>
      </c>
      <c r="J56" s="86">
        <f t="shared" si="9"/>
        <v>1697.3980649999999</v>
      </c>
      <c r="K56" s="87">
        <f>G56+G56/100*2.8166</f>
        <v>288.400563</v>
      </c>
      <c r="L56" s="86">
        <f t="shared" si="10"/>
        <v>1730.403378</v>
      </c>
      <c r="M56" s="86">
        <f t="shared" si="11"/>
        <v>6</v>
      </c>
    </row>
    <row r="57" spans="1:13" ht="12" customHeight="1" thickBot="1" thickTop="1">
      <c r="A57" s="110" t="s">
        <v>121</v>
      </c>
      <c r="B57" s="116"/>
      <c r="C57" s="78"/>
      <c r="D57" s="79"/>
      <c r="E57" s="98">
        <v>0.38</v>
      </c>
      <c r="F57" s="98">
        <v>2</v>
      </c>
      <c r="G57" s="89">
        <v>236.5</v>
      </c>
      <c r="H57" s="88">
        <f t="shared" si="8"/>
        <v>179.74</v>
      </c>
      <c r="I57" s="89">
        <f>G57+G57/100*1.014</f>
        <v>238.89811</v>
      </c>
      <c r="J57" s="88">
        <f t="shared" si="9"/>
        <v>181.5625636</v>
      </c>
      <c r="K57" s="89">
        <f>G57+G57/100*2.959</f>
        <v>243.498035</v>
      </c>
      <c r="L57" s="88">
        <f t="shared" si="10"/>
        <v>185.0585066</v>
      </c>
      <c r="M57" s="88">
        <f t="shared" si="11"/>
        <v>0.76</v>
      </c>
    </row>
    <row r="58" spans="1:13" ht="12" customHeight="1" thickBot="1" thickTop="1">
      <c r="A58" s="110"/>
      <c r="B58" s="116"/>
      <c r="C58" s="78"/>
      <c r="D58" s="79"/>
      <c r="E58" s="96">
        <v>0.5</v>
      </c>
      <c r="F58" s="96">
        <v>2</v>
      </c>
      <c r="G58" s="89">
        <v>236.5</v>
      </c>
      <c r="H58" s="84">
        <f aca="true" t="shared" si="12" ref="H58:H66">G58*M58</f>
        <v>236.5</v>
      </c>
      <c r="I58" s="85">
        <f>G58+G58/100*1.014</f>
        <v>238.89811</v>
      </c>
      <c r="J58" s="84">
        <f aca="true" t="shared" si="13" ref="J58:J66">I58*M58</f>
        <v>238.89811</v>
      </c>
      <c r="K58" s="85">
        <f>G58+G58/100*2.959</f>
        <v>243.498035</v>
      </c>
      <c r="L58" s="84">
        <f t="shared" si="10"/>
        <v>243.498035</v>
      </c>
      <c r="M58" s="84">
        <f>E58*F58</f>
        <v>1</v>
      </c>
    </row>
    <row r="59" spans="1:13" ht="12" customHeight="1" thickBot="1" thickTop="1">
      <c r="A59" s="110"/>
      <c r="B59" s="116"/>
      <c r="C59" s="78"/>
      <c r="D59" s="79"/>
      <c r="E59" s="96">
        <v>1</v>
      </c>
      <c r="F59" s="96">
        <v>2</v>
      </c>
      <c r="G59" s="89">
        <v>236.5</v>
      </c>
      <c r="H59" s="84">
        <f t="shared" si="12"/>
        <v>473</v>
      </c>
      <c r="I59" s="85">
        <f>G59+G59/100*1.014</f>
        <v>238.89811</v>
      </c>
      <c r="J59" s="84">
        <f t="shared" si="13"/>
        <v>477.79622</v>
      </c>
      <c r="K59" s="85">
        <f>G59+G59/100*2.959</f>
        <v>243.498035</v>
      </c>
      <c r="L59" s="84">
        <f>K59*M59</f>
        <v>486.99607</v>
      </c>
      <c r="M59" s="84">
        <f>E59*F59</f>
        <v>2</v>
      </c>
    </row>
    <row r="60" spans="1:13" ht="12" customHeight="1" thickBot="1" thickTop="1">
      <c r="A60" s="110"/>
      <c r="B60" s="116"/>
      <c r="C60" s="78"/>
      <c r="D60" s="79"/>
      <c r="E60" s="96">
        <v>1.5</v>
      </c>
      <c r="F60" s="96">
        <v>2</v>
      </c>
      <c r="G60" s="89">
        <v>236.5</v>
      </c>
      <c r="H60" s="84">
        <f>G60*M60</f>
        <v>709.5</v>
      </c>
      <c r="I60" s="85">
        <f>G60+G60/100*1.0146</f>
        <v>238.899529</v>
      </c>
      <c r="J60" s="84">
        <f>I60*M60</f>
        <v>716.698587</v>
      </c>
      <c r="K60" s="85">
        <f>G60+G60/100*2.96</f>
        <v>243.5004</v>
      </c>
      <c r="L60" s="84">
        <f>K60*M60</f>
        <v>730.5012</v>
      </c>
      <c r="M60" s="84">
        <f>E60*F60</f>
        <v>3</v>
      </c>
    </row>
    <row r="61" spans="1:13" ht="12.75" customHeight="1" thickBot="1" thickTop="1">
      <c r="A61" s="110"/>
      <c r="B61" s="116"/>
      <c r="C61" s="78"/>
      <c r="D61" s="79"/>
      <c r="E61" s="97">
        <v>2</v>
      </c>
      <c r="F61" s="97">
        <v>3</v>
      </c>
      <c r="G61" s="89">
        <v>236.5</v>
      </c>
      <c r="H61" s="86">
        <f t="shared" si="12"/>
        <v>1419</v>
      </c>
      <c r="I61" s="87">
        <f>G61+G61/100*1.0146</f>
        <v>238.899529</v>
      </c>
      <c r="J61" s="86">
        <f t="shared" si="13"/>
        <v>1433.397174</v>
      </c>
      <c r="K61" s="87">
        <f>G61+G61/100*2.96</f>
        <v>243.5004</v>
      </c>
      <c r="L61" s="86">
        <f t="shared" si="10"/>
        <v>1461.0024</v>
      </c>
      <c r="M61" s="86">
        <f t="shared" si="11"/>
        <v>6</v>
      </c>
    </row>
    <row r="62" spans="1:13" ht="13.5" customHeight="1" thickBot="1" thickTop="1">
      <c r="A62" s="106" t="s">
        <v>22</v>
      </c>
      <c r="B62" s="107"/>
      <c r="C62" s="107"/>
      <c r="D62" s="108"/>
      <c r="E62" s="99">
        <v>0.5</v>
      </c>
      <c r="F62" s="99">
        <v>2</v>
      </c>
      <c r="G62" s="91">
        <v>214.2</v>
      </c>
      <c r="H62" s="90">
        <f t="shared" si="12"/>
        <v>214.2</v>
      </c>
      <c r="I62" s="91">
        <f>G62+G62/100*1.074</f>
        <v>216.500508</v>
      </c>
      <c r="J62" s="90">
        <f t="shared" si="13"/>
        <v>216.500508</v>
      </c>
      <c r="K62" s="91">
        <f>G62+G62/100*2.988</f>
        <v>220.600296</v>
      </c>
      <c r="L62" s="90">
        <f t="shared" si="10"/>
        <v>220.600296</v>
      </c>
      <c r="M62" s="90">
        <f t="shared" si="11"/>
        <v>1</v>
      </c>
    </row>
    <row r="63" spans="1:13" ht="13.5" customHeight="1" thickBot="1" thickTop="1">
      <c r="A63" s="110" t="s">
        <v>144</v>
      </c>
      <c r="B63" s="111"/>
      <c r="C63" s="70"/>
      <c r="D63" s="71"/>
      <c r="E63" s="98">
        <v>0.38</v>
      </c>
      <c r="F63" s="98">
        <v>2</v>
      </c>
      <c r="G63" s="89">
        <v>188.8</v>
      </c>
      <c r="H63" s="88">
        <f t="shared" si="12"/>
        <v>143.488</v>
      </c>
      <c r="I63" s="89">
        <f>G63+G63/100*1.375</f>
        <v>191.39600000000002</v>
      </c>
      <c r="J63" s="88">
        <f t="shared" si="13"/>
        <v>145.46096</v>
      </c>
      <c r="K63" s="89">
        <f>G63+G63/100*4.98</f>
        <v>198.20224000000002</v>
      </c>
      <c r="L63" s="88">
        <f t="shared" si="10"/>
        <v>150.6337024</v>
      </c>
      <c r="M63" s="88">
        <f t="shared" si="11"/>
        <v>0.76</v>
      </c>
    </row>
    <row r="64" spans="1:13" ht="12" customHeight="1" thickBot="1" thickTop="1">
      <c r="A64" s="110"/>
      <c r="B64" s="111"/>
      <c r="C64" s="70"/>
      <c r="D64" s="71"/>
      <c r="E64" s="96">
        <v>0.64</v>
      </c>
      <c r="F64" s="96">
        <v>2</v>
      </c>
      <c r="G64" s="89">
        <v>188.8</v>
      </c>
      <c r="H64" s="84">
        <f t="shared" si="12"/>
        <v>241.66400000000002</v>
      </c>
      <c r="I64" s="85">
        <f>G64+G64/100*1.376</f>
        <v>191.39788800000002</v>
      </c>
      <c r="J64" s="84">
        <f t="shared" si="13"/>
        <v>244.98929664000002</v>
      </c>
      <c r="K64" s="85">
        <f>G64+G64/100*4.98</f>
        <v>198.20224000000002</v>
      </c>
      <c r="L64" s="84">
        <f>K64*M64</f>
        <v>253.69886720000002</v>
      </c>
      <c r="M64" s="84">
        <f t="shared" si="11"/>
        <v>1.28</v>
      </c>
    </row>
    <row r="65" spans="1:13" ht="12" customHeight="1" thickBot="1" thickTop="1">
      <c r="A65" s="110"/>
      <c r="B65" s="111"/>
      <c r="C65" s="70"/>
      <c r="D65" s="71"/>
      <c r="E65" s="97">
        <v>1</v>
      </c>
      <c r="F65" s="97">
        <v>2</v>
      </c>
      <c r="G65" s="89">
        <v>188.8</v>
      </c>
      <c r="H65" s="86">
        <f t="shared" si="12"/>
        <v>377.6</v>
      </c>
      <c r="I65" s="87">
        <f>G65+G65/100*1.376</f>
        <v>191.39788800000002</v>
      </c>
      <c r="J65" s="86">
        <f t="shared" si="13"/>
        <v>382.79577600000005</v>
      </c>
      <c r="K65" s="87">
        <f>G65+G65/100*4.98</f>
        <v>198.20224000000002</v>
      </c>
      <c r="L65" s="86">
        <f>K65*M65</f>
        <v>396.40448000000004</v>
      </c>
      <c r="M65" s="86">
        <f t="shared" si="11"/>
        <v>2</v>
      </c>
    </row>
    <row r="66" spans="1:13" ht="13.5" customHeight="1" thickBot="1" thickTop="1">
      <c r="A66" s="110" t="s">
        <v>153</v>
      </c>
      <c r="B66" s="111"/>
      <c r="C66" s="70"/>
      <c r="D66" s="71"/>
      <c r="E66" s="98">
        <v>0.35</v>
      </c>
      <c r="F66" s="98">
        <v>2</v>
      </c>
      <c r="G66" s="89">
        <v>119.7</v>
      </c>
      <c r="H66" s="88">
        <f t="shared" si="12"/>
        <v>83.78999999999999</v>
      </c>
      <c r="I66" s="89">
        <f>G66+G66/100*1.34</f>
        <v>121.30398000000001</v>
      </c>
      <c r="J66" s="88">
        <f t="shared" si="13"/>
        <v>84.912786</v>
      </c>
      <c r="K66" s="89">
        <f>G66+G66/100*4.93</f>
        <v>125.60121000000001</v>
      </c>
      <c r="L66" s="88">
        <f t="shared" si="10"/>
        <v>87.920847</v>
      </c>
      <c r="M66" s="88">
        <f t="shared" si="11"/>
        <v>0.7</v>
      </c>
    </row>
    <row r="67" spans="1:13" ht="11.25" customHeight="1" thickBot="1" thickTop="1">
      <c r="A67" s="110"/>
      <c r="B67" s="111"/>
      <c r="C67" s="70"/>
      <c r="D67" s="71"/>
      <c r="E67" s="96">
        <v>0.5</v>
      </c>
      <c r="F67" s="96">
        <v>2</v>
      </c>
      <c r="G67" s="89">
        <v>119.7</v>
      </c>
      <c r="H67" s="84">
        <f>G67*M67</f>
        <v>119.7</v>
      </c>
      <c r="I67" s="85">
        <f>G67+G67/100*1.34</f>
        <v>121.30398000000001</v>
      </c>
      <c r="J67" s="84">
        <f>I67*M67</f>
        <v>121.30398000000001</v>
      </c>
      <c r="K67" s="85">
        <f>G67+G67/100*4.93</f>
        <v>125.60121000000001</v>
      </c>
      <c r="L67" s="84">
        <f aca="true" t="shared" si="14" ref="L67:L72">K67*M67</f>
        <v>125.60121000000001</v>
      </c>
      <c r="M67" s="84">
        <f t="shared" si="11"/>
        <v>1</v>
      </c>
    </row>
    <row r="68" spans="1:13" ht="11.25" customHeight="1" thickBot="1" thickTop="1">
      <c r="A68" s="110"/>
      <c r="B68" s="111"/>
      <c r="C68" s="70"/>
      <c r="D68" s="71"/>
      <c r="E68" s="96">
        <v>1</v>
      </c>
      <c r="F68" s="96">
        <v>2</v>
      </c>
      <c r="G68" s="89">
        <v>119.7</v>
      </c>
      <c r="H68" s="84">
        <f>G68*M68</f>
        <v>239.4</v>
      </c>
      <c r="I68" s="85">
        <f>G68+G68/100*1.338</f>
        <v>121.301586</v>
      </c>
      <c r="J68" s="84">
        <f>I68*M68</f>
        <v>242.603172</v>
      </c>
      <c r="K68" s="85">
        <f>G68+G68/100*4.93</f>
        <v>125.60121000000001</v>
      </c>
      <c r="L68" s="84">
        <f t="shared" si="14"/>
        <v>251.20242000000002</v>
      </c>
      <c r="M68" s="84">
        <f aca="true" t="shared" si="15" ref="M68:M79">E68*F68</f>
        <v>2</v>
      </c>
    </row>
    <row r="69" spans="1:13" ht="11.25" customHeight="1" thickBot="1" thickTop="1">
      <c r="A69" s="110"/>
      <c r="B69" s="111"/>
      <c r="C69" s="70"/>
      <c r="D69" s="71"/>
      <c r="E69" s="96">
        <v>1.5</v>
      </c>
      <c r="F69" s="96">
        <v>2</v>
      </c>
      <c r="G69" s="89">
        <v>119.7</v>
      </c>
      <c r="H69" s="84">
        <f>G69*M69</f>
        <v>359.1</v>
      </c>
      <c r="I69" s="85">
        <f>G69+G69/100*1.338</f>
        <v>121.301586</v>
      </c>
      <c r="J69" s="84">
        <f>I69*M69</f>
        <v>363.904758</v>
      </c>
      <c r="K69" s="85">
        <f>G69+G69/100*4.93</f>
        <v>125.60121000000001</v>
      </c>
      <c r="L69" s="84">
        <f t="shared" si="14"/>
        <v>376.80363</v>
      </c>
      <c r="M69" s="84">
        <f t="shared" si="15"/>
        <v>3</v>
      </c>
    </row>
    <row r="70" spans="1:13" ht="12.75" customHeight="1" thickBot="1" thickTop="1">
      <c r="A70" s="110"/>
      <c r="B70" s="111"/>
      <c r="C70" s="70"/>
      <c r="D70" s="71"/>
      <c r="E70" s="97">
        <v>2</v>
      </c>
      <c r="F70" s="97">
        <v>3</v>
      </c>
      <c r="G70" s="89">
        <v>119.7</v>
      </c>
      <c r="H70" s="86">
        <f>G70*M70</f>
        <v>718.2</v>
      </c>
      <c r="I70" s="87">
        <f>G70+G70/100*1.337</f>
        <v>121.30038900000001</v>
      </c>
      <c r="J70" s="86">
        <f>I70*M70</f>
        <v>727.8023340000001</v>
      </c>
      <c r="K70" s="87">
        <f>G70+G70/100*4.929</f>
        <v>125.600013</v>
      </c>
      <c r="L70" s="86">
        <f t="shared" si="14"/>
        <v>753.600078</v>
      </c>
      <c r="M70" s="86">
        <f t="shared" si="15"/>
        <v>6</v>
      </c>
    </row>
    <row r="71" spans="1:13" ht="12.75" customHeight="1" thickBot="1" thickTop="1">
      <c r="A71" s="106" t="s">
        <v>154</v>
      </c>
      <c r="B71" s="107"/>
      <c r="C71" s="107"/>
      <c r="D71" s="108"/>
      <c r="E71" s="99">
        <v>0.5</v>
      </c>
      <c r="F71" s="99">
        <v>2</v>
      </c>
      <c r="G71" s="91">
        <v>134.7</v>
      </c>
      <c r="H71" s="90">
        <f>G71*M71</f>
        <v>134.7</v>
      </c>
      <c r="I71" s="91">
        <f>G71+G71/100*1.556</f>
        <v>136.795932</v>
      </c>
      <c r="J71" s="90">
        <f>I71*M71</f>
        <v>136.795932</v>
      </c>
      <c r="K71" s="91">
        <f>G71+G71/100*4.898</f>
        <v>141.297606</v>
      </c>
      <c r="L71" s="90">
        <f>K71*M71</f>
        <v>141.297606</v>
      </c>
      <c r="M71" s="90">
        <f>E71*F71</f>
        <v>1</v>
      </c>
    </row>
    <row r="72" spans="1:13" ht="13.5" customHeight="1" thickBot="1" thickTop="1">
      <c r="A72" s="106" t="s">
        <v>125</v>
      </c>
      <c r="B72" s="107"/>
      <c r="C72" s="107"/>
      <c r="D72" s="108"/>
      <c r="E72" s="99">
        <v>1</v>
      </c>
      <c r="F72" s="99">
        <v>2</v>
      </c>
      <c r="G72" s="91">
        <v>90.3</v>
      </c>
      <c r="H72" s="90">
        <f aca="true" t="shared" si="16" ref="H72:H77">G72*M72</f>
        <v>180.6</v>
      </c>
      <c r="I72" s="91">
        <f>G72+G72/100*1.774</f>
        <v>91.901922</v>
      </c>
      <c r="J72" s="90">
        <f aca="true" t="shared" si="17" ref="J72:J77">I72*M72</f>
        <v>183.803844</v>
      </c>
      <c r="K72" s="91">
        <f>G72+G72/100*4.982</f>
        <v>94.798746</v>
      </c>
      <c r="L72" s="90">
        <f t="shared" si="14"/>
        <v>189.597492</v>
      </c>
      <c r="M72" s="90">
        <f t="shared" si="15"/>
        <v>2</v>
      </c>
    </row>
    <row r="73" spans="1:13" ht="13.5" customHeight="1" thickBot="1" thickTop="1">
      <c r="A73" s="121" t="s">
        <v>135</v>
      </c>
      <c r="B73" s="122"/>
      <c r="C73" s="70"/>
      <c r="D73" s="71"/>
      <c r="E73" s="98">
        <v>0.5</v>
      </c>
      <c r="F73" s="98">
        <v>2</v>
      </c>
      <c r="G73" s="103">
        <v>199.6</v>
      </c>
      <c r="H73" s="88">
        <f>G73*M73</f>
        <v>199.6</v>
      </c>
      <c r="I73" s="89">
        <f>G73+G73/100*1.554</f>
        <v>202.701784</v>
      </c>
      <c r="J73" s="88">
        <f>I73*M73</f>
        <v>202.701784</v>
      </c>
      <c r="K73" s="89">
        <f>G73+G73/100*5.662</f>
        <v>210.901352</v>
      </c>
      <c r="L73" s="88">
        <f aca="true" t="shared" si="18" ref="L73:L79">K73*M73</f>
        <v>210.901352</v>
      </c>
      <c r="M73" s="88">
        <f t="shared" si="15"/>
        <v>1</v>
      </c>
    </row>
    <row r="74" spans="1:13" ht="14.25" customHeight="1" thickBot="1" thickTop="1">
      <c r="A74" s="121"/>
      <c r="B74" s="122"/>
      <c r="C74" s="70"/>
      <c r="D74" s="71"/>
      <c r="E74" s="97">
        <v>2</v>
      </c>
      <c r="F74" s="97">
        <v>3</v>
      </c>
      <c r="G74" s="104">
        <v>199.6</v>
      </c>
      <c r="H74" s="86">
        <f>G74*M74</f>
        <v>1197.6</v>
      </c>
      <c r="I74" s="87">
        <f>G74+G74/100*1.553</f>
        <v>202.69978799999998</v>
      </c>
      <c r="J74" s="86">
        <f>I74*M74</f>
        <v>1216.1987279999998</v>
      </c>
      <c r="K74" s="87">
        <f>G74+G74/100*5.6612</f>
        <v>210.8997552</v>
      </c>
      <c r="L74" s="86">
        <f t="shared" si="18"/>
        <v>1265.3985312</v>
      </c>
      <c r="M74" s="86">
        <f t="shared" si="15"/>
        <v>6</v>
      </c>
    </row>
    <row r="75" spans="1:13" ht="14.25" customHeight="1" thickBot="1" thickTop="1">
      <c r="A75" s="109" t="s">
        <v>29</v>
      </c>
      <c r="B75" s="109"/>
      <c r="C75" s="109"/>
      <c r="D75" s="109"/>
      <c r="E75" s="99">
        <v>1</v>
      </c>
      <c r="F75" s="99">
        <v>2</v>
      </c>
      <c r="G75" s="80">
        <v>131.4</v>
      </c>
      <c r="H75" s="90">
        <f t="shared" si="16"/>
        <v>262.8</v>
      </c>
      <c r="I75" s="91">
        <f>G75+G75/100*1.597</f>
        <v>133.498458</v>
      </c>
      <c r="J75" s="90">
        <f t="shared" si="17"/>
        <v>266.996916</v>
      </c>
      <c r="K75" s="91">
        <f>G75+G75/100*5.329</f>
        <v>138.402306</v>
      </c>
      <c r="L75" s="90">
        <f t="shared" si="18"/>
        <v>276.804612</v>
      </c>
      <c r="M75" s="90">
        <f t="shared" si="15"/>
        <v>2</v>
      </c>
    </row>
    <row r="76" spans="1:13" ht="14.25" customHeight="1" thickBot="1" thickTop="1">
      <c r="A76" s="109" t="s">
        <v>17</v>
      </c>
      <c r="B76" s="109"/>
      <c r="C76" s="109"/>
      <c r="D76" s="109"/>
      <c r="E76" s="99">
        <v>2</v>
      </c>
      <c r="F76" s="99">
        <v>3</v>
      </c>
      <c r="G76" s="80">
        <v>199.6</v>
      </c>
      <c r="H76" s="90">
        <f>G76*M76</f>
        <v>1197.6</v>
      </c>
      <c r="I76" s="91">
        <f>G76+G76/100*1.553</f>
        <v>202.69978799999998</v>
      </c>
      <c r="J76" s="90">
        <f>I76*M76</f>
        <v>1216.1987279999998</v>
      </c>
      <c r="K76" s="91">
        <f>G76+G76/100*5.6612</f>
        <v>210.8997552</v>
      </c>
      <c r="L76" s="90">
        <f t="shared" si="18"/>
        <v>1265.3985312</v>
      </c>
      <c r="M76" s="90">
        <f t="shared" si="15"/>
        <v>6</v>
      </c>
    </row>
    <row r="77" spans="1:13" ht="11.25" customHeight="1" thickBot="1" thickTop="1">
      <c r="A77" s="121" t="s">
        <v>137</v>
      </c>
      <c r="B77" s="122"/>
      <c r="C77" s="122"/>
      <c r="D77" s="123"/>
      <c r="E77" s="98">
        <v>0.38</v>
      </c>
      <c r="F77" s="98">
        <v>2</v>
      </c>
      <c r="G77" s="83">
        <v>356.3</v>
      </c>
      <c r="H77" s="88">
        <f t="shared" si="16"/>
        <v>270.788</v>
      </c>
      <c r="I77" s="89">
        <f>G77+G77/100*1.5442</f>
        <v>361.8019846</v>
      </c>
      <c r="J77" s="88">
        <f t="shared" si="17"/>
        <v>274.969508296</v>
      </c>
      <c r="K77" s="89">
        <f>G77+G77/100*5.053</f>
        <v>374.30383900000004</v>
      </c>
      <c r="L77" s="88">
        <f t="shared" si="18"/>
        <v>284.47091764000004</v>
      </c>
      <c r="M77" s="88">
        <f t="shared" si="15"/>
        <v>0.76</v>
      </c>
    </row>
    <row r="78" spans="1:13" ht="12" customHeight="1" thickBot="1" thickTop="1">
      <c r="A78" s="121"/>
      <c r="B78" s="122"/>
      <c r="C78" s="122"/>
      <c r="D78" s="123"/>
      <c r="E78" s="96">
        <v>0.5</v>
      </c>
      <c r="F78" s="96">
        <v>2</v>
      </c>
      <c r="G78" s="83">
        <v>356.3</v>
      </c>
      <c r="H78" s="84">
        <f>G78*M78</f>
        <v>356.3</v>
      </c>
      <c r="I78" s="85">
        <f>G78+G78/100*1.5442</f>
        <v>361.8019846</v>
      </c>
      <c r="J78" s="84">
        <f>I78*M78</f>
        <v>361.8019846</v>
      </c>
      <c r="K78" s="85">
        <f>G78+G78/100*5.053</f>
        <v>374.30383900000004</v>
      </c>
      <c r="L78" s="84">
        <f t="shared" si="18"/>
        <v>374.30383900000004</v>
      </c>
      <c r="M78" s="84">
        <f t="shared" si="15"/>
        <v>1</v>
      </c>
    </row>
    <row r="79" spans="1:13" ht="12" customHeight="1" thickBot="1" thickTop="1">
      <c r="A79" s="121"/>
      <c r="B79" s="122"/>
      <c r="C79" s="122"/>
      <c r="D79" s="123"/>
      <c r="E79" s="97">
        <v>1</v>
      </c>
      <c r="F79" s="97">
        <v>2</v>
      </c>
      <c r="G79" s="83">
        <v>356.3</v>
      </c>
      <c r="H79" s="86">
        <f>G79*M79</f>
        <v>712.6</v>
      </c>
      <c r="I79" s="87">
        <f>G79+G79/100*1.5442</f>
        <v>361.8019846</v>
      </c>
      <c r="J79" s="86">
        <f>I79*M79</f>
        <v>723.6039692</v>
      </c>
      <c r="K79" s="87">
        <f>G79+G79/100*5.0525</f>
        <v>374.3020575</v>
      </c>
      <c r="L79" s="86">
        <f t="shared" si="18"/>
        <v>748.604115</v>
      </c>
      <c r="M79" s="86">
        <f t="shared" si="15"/>
        <v>2</v>
      </c>
    </row>
    <row r="80" spans="1:13" ht="4.5" customHeight="1" hidden="1" thickTop="1">
      <c r="A80" s="81"/>
      <c r="B80" s="82"/>
      <c r="C80" s="82"/>
      <c r="D80" s="82"/>
      <c r="E80" s="102"/>
      <c r="F80" s="102"/>
      <c r="G80" s="105"/>
      <c r="H80" s="94"/>
      <c r="I80" s="94"/>
      <c r="J80" s="94"/>
      <c r="K80" s="94"/>
      <c r="L80" s="94"/>
      <c r="M80" s="95"/>
    </row>
    <row r="81" spans="1:13" ht="11.25" customHeight="1" thickBot="1" thickTop="1">
      <c r="A81" s="106" t="s">
        <v>52</v>
      </c>
      <c r="B81" s="107"/>
      <c r="C81" s="107"/>
      <c r="D81" s="108"/>
      <c r="E81" s="98">
        <v>0.5</v>
      </c>
      <c r="F81" s="98">
        <v>2</v>
      </c>
      <c r="G81" s="89">
        <v>620.6</v>
      </c>
      <c r="H81" s="88">
        <f>G81*M81</f>
        <v>620.6</v>
      </c>
      <c r="I81" s="89">
        <f>G81+G81/100*1.998</f>
        <v>632.999588</v>
      </c>
      <c r="J81" s="88">
        <f>I81*M81</f>
        <v>632.999588</v>
      </c>
      <c r="K81" s="89">
        <f>G81+G81/100*3.9803</f>
        <v>645.3017418000001</v>
      </c>
      <c r="L81" s="88">
        <f>K81*M81</f>
        <v>645.3017418000001</v>
      </c>
      <c r="M81" s="88">
        <f>E81*F81</f>
        <v>1</v>
      </c>
    </row>
    <row r="82" spans="1:13" ht="10.5" customHeight="1" thickTop="1">
      <c r="A82" s="118"/>
      <c r="B82" s="119"/>
      <c r="C82" s="119"/>
      <c r="D82" s="120"/>
      <c r="E82" s="96">
        <v>2</v>
      </c>
      <c r="F82" s="96">
        <v>3</v>
      </c>
      <c r="G82" s="89">
        <v>620.6</v>
      </c>
      <c r="H82" s="84">
        <f>G82*M82</f>
        <v>3723.6000000000004</v>
      </c>
      <c r="I82" s="85">
        <f>G82+G82/100*1.998</f>
        <v>632.999588</v>
      </c>
      <c r="J82" s="84">
        <f>I82*M82</f>
        <v>3797.997528</v>
      </c>
      <c r="K82" s="85">
        <f>G82+G82/100*3.98</f>
        <v>645.29988</v>
      </c>
      <c r="L82" s="84">
        <f>K82*M82</f>
        <v>3871.79928</v>
      </c>
      <c r="M82" s="84">
        <f>E82*F82</f>
        <v>6</v>
      </c>
    </row>
    <row r="83" spans="1:13" ht="12.75" customHeight="1">
      <c r="A83" s="27" t="s">
        <v>25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 customHeight="1">
      <c r="A84" s="1" t="s">
        <v>43</v>
      </c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4"/>
      <c r="M84" s="45"/>
    </row>
  </sheetData>
  <sheetProtection/>
  <mergeCells count="35">
    <mergeCell ref="A10:D12"/>
    <mergeCell ref="A20:B21"/>
    <mergeCell ref="A6:B7"/>
    <mergeCell ref="A4:B4"/>
    <mergeCell ref="A5:M5"/>
    <mergeCell ref="A8:D9"/>
    <mergeCell ref="A13:B15"/>
    <mergeCell ref="A16:B18"/>
    <mergeCell ref="A19:D19"/>
    <mergeCell ref="A41:D42"/>
    <mergeCell ref="A26:D27"/>
    <mergeCell ref="A38:B39"/>
    <mergeCell ref="A34:B35"/>
    <mergeCell ref="A40:B40"/>
    <mergeCell ref="A36:B37"/>
    <mergeCell ref="A81:D82"/>
    <mergeCell ref="A66:B70"/>
    <mergeCell ref="A73:B74"/>
    <mergeCell ref="A77:D79"/>
    <mergeCell ref="A75:D75"/>
    <mergeCell ref="A22:D23"/>
    <mergeCell ref="A57:B61"/>
    <mergeCell ref="A51:D56"/>
    <mergeCell ref="A24:D25"/>
    <mergeCell ref="A30:D31"/>
    <mergeCell ref="A62:D62"/>
    <mergeCell ref="A76:D76"/>
    <mergeCell ref="A72:D72"/>
    <mergeCell ref="A46:B50"/>
    <mergeCell ref="A44:B45"/>
    <mergeCell ref="A28:D29"/>
    <mergeCell ref="A43:B43"/>
    <mergeCell ref="A32:B33"/>
    <mergeCell ref="A63:B65"/>
    <mergeCell ref="A71:D71"/>
  </mergeCells>
  <printOptions/>
  <pageMargins left="0.5905511811023623" right="0" top="0.1968503937007874" bottom="0.1968503937007874" header="0" footer="0"/>
  <pageSetup fitToHeight="0" fitToWidth="1" horizontalDpi="600" verticalDpi="6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46">
      <selection activeCell="N14" sqref="N14"/>
    </sheetView>
  </sheetViews>
  <sheetFormatPr defaultColWidth="9.00390625" defaultRowHeight="12.75"/>
  <cols>
    <col min="3" max="3" width="4.00390625" style="0" customWidth="1"/>
    <col min="4" max="4" width="8.00390625" style="0" customWidth="1"/>
    <col min="5" max="5" width="7.875" style="0" customWidth="1"/>
    <col min="6" max="6" width="9.00390625" style="0" customWidth="1"/>
    <col min="7" max="7" width="11.75390625" style="0" customWidth="1"/>
    <col min="8" max="8" width="9.00390625" style="0" customWidth="1"/>
    <col min="9" max="9" width="11.75390625" style="0" customWidth="1"/>
    <col min="10" max="10" width="9.375" style="0" customWidth="1"/>
    <col min="11" max="11" width="12.125" style="0" customWidth="1"/>
    <col min="12" max="12" width="8.75390625" style="0" customWidth="1"/>
  </cols>
  <sheetData>
    <row r="2" spans="1:12" ht="18" customHeight="1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2">
        <v>45271</v>
      </c>
    </row>
    <row r="3" spans="1:12" ht="15">
      <c r="A3" s="33" t="s">
        <v>6</v>
      </c>
      <c r="B3" s="32"/>
      <c r="C3" s="32"/>
      <c r="D3" s="32"/>
      <c r="E3" s="32"/>
      <c r="F3" s="34"/>
      <c r="G3" s="32"/>
      <c r="H3" s="32"/>
      <c r="I3" s="25" t="s">
        <v>72</v>
      </c>
      <c r="J3" s="25"/>
      <c r="K3" s="25"/>
      <c r="L3" s="26" t="s">
        <v>10</v>
      </c>
    </row>
    <row r="4" spans="1:12" ht="34.5">
      <c r="A4" s="136" t="s">
        <v>36</v>
      </c>
      <c r="B4" s="137"/>
      <c r="C4" s="153"/>
      <c r="D4" s="30" t="s">
        <v>39</v>
      </c>
      <c r="E4" s="30" t="s">
        <v>38</v>
      </c>
      <c r="F4" s="31" t="s">
        <v>42</v>
      </c>
      <c r="G4" s="30" t="s">
        <v>40</v>
      </c>
      <c r="H4" s="31" t="s">
        <v>41</v>
      </c>
      <c r="I4" s="30" t="s">
        <v>40</v>
      </c>
      <c r="J4" s="31" t="s">
        <v>45</v>
      </c>
      <c r="K4" s="30" t="s">
        <v>40</v>
      </c>
      <c r="L4" s="31" t="s">
        <v>37</v>
      </c>
    </row>
    <row r="5" spans="1:12" ht="15" customHeight="1">
      <c r="A5" s="154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6"/>
    </row>
    <row r="6" spans="1:12" ht="14.25" customHeight="1">
      <c r="A6" s="146" t="s">
        <v>23</v>
      </c>
      <c r="B6" s="144"/>
      <c r="C6" s="145"/>
      <c r="D6" s="4">
        <v>0.984</v>
      </c>
      <c r="E6" s="4">
        <v>50</v>
      </c>
      <c r="F6" s="6" t="s">
        <v>158</v>
      </c>
      <c r="G6" s="66" t="s">
        <v>159</v>
      </c>
      <c r="H6" s="6"/>
      <c r="I6" s="5"/>
      <c r="J6" s="6"/>
      <c r="K6" s="5"/>
      <c r="L6" s="5"/>
    </row>
    <row r="7" spans="1:12" ht="14.25" customHeight="1">
      <c r="A7" s="146" t="s">
        <v>32</v>
      </c>
      <c r="B7" s="144"/>
      <c r="C7" s="145"/>
      <c r="D7" s="4">
        <v>0.2</v>
      </c>
      <c r="E7" s="4">
        <v>50</v>
      </c>
      <c r="F7" s="6" t="s">
        <v>158</v>
      </c>
      <c r="G7" s="66" t="s">
        <v>159</v>
      </c>
      <c r="H7" s="6"/>
      <c r="I7" s="5"/>
      <c r="J7" s="6"/>
      <c r="K7" s="5"/>
      <c r="L7" s="5"/>
    </row>
    <row r="8" spans="1:12" ht="14.25" customHeight="1">
      <c r="A8" s="146" t="s">
        <v>32</v>
      </c>
      <c r="B8" s="144"/>
      <c r="C8" s="145"/>
      <c r="D8" s="4">
        <v>0.3</v>
      </c>
      <c r="E8" s="4">
        <v>50</v>
      </c>
      <c r="F8" s="6" t="s">
        <v>158</v>
      </c>
      <c r="G8" s="66" t="s">
        <v>159</v>
      </c>
      <c r="H8" s="6"/>
      <c r="I8" s="5"/>
      <c r="J8" s="6"/>
      <c r="K8" s="5"/>
      <c r="L8" s="5"/>
    </row>
    <row r="9" spans="1:12" ht="14.25" customHeight="1">
      <c r="A9" s="146" t="s">
        <v>32</v>
      </c>
      <c r="B9" s="144"/>
      <c r="C9" s="145"/>
      <c r="D9" s="4">
        <v>0.35</v>
      </c>
      <c r="E9" s="4">
        <v>50</v>
      </c>
      <c r="F9" s="6" t="s">
        <v>158</v>
      </c>
      <c r="G9" s="66" t="s">
        <v>159</v>
      </c>
      <c r="H9" s="6"/>
      <c r="I9" s="5"/>
      <c r="J9" s="6"/>
      <c r="K9" s="5"/>
      <c r="L9" s="5"/>
    </row>
    <row r="10" spans="1:12" ht="14.25" customHeight="1">
      <c r="A10" s="146" t="s">
        <v>32</v>
      </c>
      <c r="B10" s="144"/>
      <c r="C10" s="145"/>
      <c r="D10" s="4">
        <v>0.5</v>
      </c>
      <c r="E10" s="4">
        <v>50</v>
      </c>
      <c r="F10" s="6" t="s">
        <v>158</v>
      </c>
      <c r="G10" s="66" t="s">
        <v>159</v>
      </c>
      <c r="H10" s="6"/>
      <c r="I10" s="5"/>
      <c r="J10" s="6"/>
      <c r="K10" s="5"/>
      <c r="L10" s="5"/>
    </row>
    <row r="11" spans="1:12" ht="12" customHeight="1">
      <c r="A11" s="146" t="s">
        <v>32</v>
      </c>
      <c r="B11" s="144"/>
      <c r="C11" s="145"/>
      <c r="D11" s="4">
        <v>1</v>
      </c>
      <c r="E11" s="4">
        <v>50</v>
      </c>
      <c r="F11" s="6" t="s">
        <v>158</v>
      </c>
      <c r="G11" s="66" t="s">
        <v>159</v>
      </c>
      <c r="H11" s="6"/>
      <c r="I11" s="5"/>
      <c r="J11" s="6"/>
      <c r="K11" s="5"/>
      <c r="L11" s="5"/>
    </row>
    <row r="12" spans="1:12" ht="12" customHeight="1">
      <c r="A12" s="146" t="s">
        <v>32</v>
      </c>
      <c r="B12" s="144"/>
      <c r="C12" s="145"/>
      <c r="D12" s="4">
        <v>1.5</v>
      </c>
      <c r="E12" s="4">
        <v>50</v>
      </c>
      <c r="F12" s="6" t="s">
        <v>158</v>
      </c>
      <c r="G12" s="66" t="s">
        <v>159</v>
      </c>
      <c r="H12" s="6"/>
      <c r="I12" s="5"/>
      <c r="J12" s="6"/>
      <c r="K12" s="5"/>
      <c r="L12" s="5"/>
    </row>
    <row r="13" spans="1:12" ht="12" customHeight="1">
      <c r="A13" s="146" t="s">
        <v>32</v>
      </c>
      <c r="B13" s="144"/>
      <c r="C13" s="145"/>
      <c r="D13" s="4">
        <v>1.8</v>
      </c>
      <c r="E13" s="4">
        <v>50</v>
      </c>
      <c r="F13" s="6" t="s">
        <v>158</v>
      </c>
      <c r="G13" s="66" t="s">
        <v>159</v>
      </c>
      <c r="H13" s="6"/>
      <c r="I13" s="5"/>
      <c r="J13" s="6"/>
      <c r="K13" s="5"/>
      <c r="L13" s="5"/>
    </row>
    <row r="14" spans="1:12" ht="12" customHeight="1">
      <c r="A14" s="146" t="s">
        <v>8</v>
      </c>
      <c r="B14" s="144"/>
      <c r="C14" s="145"/>
      <c r="D14" s="4">
        <v>0.3</v>
      </c>
      <c r="E14" s="4">
        <v>50</v>
      </c>
      <c r="F14" s="6" t="s">
        <v>158</v>
      </c>
      <c r="G14" s="66" t="s">
        <v>159</v>
      </c>
      <c r="H14" s="6"/>
      <c r="I14" s="5"/>
      <c r="J14" s="6"/>
      <c r="K14" s="5"/>
      <c r="L14" s="5"/>
    </row>
    <row r="15" spans="1:12" ht="12" customHeight="1">
      <c r="A15" s="146" t="s">
        <v>8</v>
      </c>
      <c r="B15" s="144"/>
      <c r="C15" s="145"/>
      <c r="D15" s="4">
        <v>1</v>
      </c>
      <c r="E15" s="4">
        <v>50</v>
      </c>
      <c r="F15" s="6" t="s">
        <v>158</v>
      </c>
      <c r="G15" s="66" t="s">
        <v>159</v>
      </c>
      <c r="H15" s="6"/>
      <c r="I15" s="5"/>
      <c r="J15" s="6"/>
      <c r="K15" s="5"/>
      <c r="L15" s="5"/>
    </row>
    <row r="16" spans="1:12" ht="12" customHeight="1">
      <c r="A16" s="146" t="s">
        <v>8</v>
      </c>
      <c r="B16" s="144"/>
      <c r="C16" s="145"/>
      <c r="D16" s="4">
        <v>2</v>
      </c>
      <c r="E16" s="4">
        <v>50</v>
      </c>
      <c r="F16" s="6" t="s">
        <v>158</v>
      </c>
      <c r="G16" s="66" t="s">
        <v>159</v>
      </c>
      <c r="H16" s="6"/>
      <c r="I16" s="5"/>
      <c r="J16" s="6"/>
      <c r="K16" s="5"/>
      <c r="L16" s="5"/>
    </row>
    <row r="17" spans="1:12" ht="12" customHeight="1">
      <c r="A17" s="146" t="s">
        <v>27</v>
      </c>
      <c r="B17" s="144"/>
      <c r="C17" s="145"/>
      <c r="D17" s="4">
        <v>0.25</v>
      </c>
      <c r="E17" s="4">
        <v>50</v>
      </c>
      <c r="F17" s="6" t="s">
        <v>158</v>
      </c>
      <c r="G17" s="66" t="s">
        <v>159</v>
      </c>
      <c r="H17" s="6"/>
      <c r="I17" s="5"/>
      <c r="J17" s="6"/>
      <c r="K17" s="5"/>
      <c r="L17" s="5"/>
    </row>
    <row r="18" spans="1:12" ht="12.75" customHeight="1">
      <c r="A18" s="146" t="s">
        <v>27</v>
      </c>
      <c r="B18" s="144"/>
      <c r="C18" s="145"/>
      <c r="D18" s="4">
        <v>0.3</v>
      </c>
      <c r="E18" s="4">
        <v>50</v>
      </c>
      <c r="F18" s="6" t="s">
        <v>158</v>
      </c>
      <c r="G18" s="66" t="s">
        <v>159</v>
      </c>
      <c r="H18" s="6"/>
      <c r="I18" s="5"/>
      <c r="J18" s="6"/>
      <c r="K18" s="5"/>
      <c r="L18" s="5"/>
    </row>
    <row r="19" spans="1:12" ht="14.25" customHeight="1">
      <c r="A19" s="146" t="s">
        <v>27</v>
      </c>
      <c r="B19" s="144"/>
      <c r="C19" s="145"/>
      <c r="D19" s="4">
        <v>1</v>
      </c>
      <c r="E19" s="4">
        <v>50</v>
      </c>
      <c r="F19" s="6" t="s">
        <v>158</v>
      </c>
      <c r="G19" s="66" t="s">
        <v>159</v>
      </c>
      <c r="H19" s="6"/>
      <c r="I19" s="5"/>
      <c r="J19" s="6"/>
      <c r="K19" s="5"/>
      <c r="L19" s="5"/>
    </row>
    <row r="20" spans="1:12" ht="12" customHeight="1">
      <c r="A20" s="146" t="s">
        <v>27</v>
      </c>
      <c r="B20" s="144"/>
      <c r="C20" s="145"/>
      <c r="D20" s="4">
        <v>1.5</v>
      </c>
      <c r="E20" s="4">
        <v>45</v>
      </c>
      <c r="F20" s="6" t="s">
        <v>158</v>
      </c>
      <c r="G20" s="66" t="s">
        <v>159</v>
      </c>
      <c r="H20" s="6"/>
      <c r="I20" s="5"/>
      <c r="J20" s="6"/>
      <c r="K20" s="5"/>
      <c r="L20" s="5"/>
    </row>
    <row r="21" spans="1:12" ht="12.75" customHeight="1">
      <c r="A21" s="146" t="s">
        <v>91</v>
      </c>
      <c r="B21" s="144"/>
      <c r="C21" s="145"/>
      <c r="D21" s="14">
        <v>1.5</v>
      </c>
      <c r="E21" s="14">
        <v>40</v>
      </c>
      <c r="F21" s="6" t="s">
        <v>158</v>
      </c>
      <c r="G21" s="66" t="s">
        <v>159</v>
      </c>
      <c r="H21" s="6"/>
      <c r="I21" s="5"/>
      <c r="J21" s="6"/>
      <c r="K21" s="5"/>
      <c r="L21" s="5"/>
    </row>
    <row r="22" spans="1:12" ht="12.75" customHeight="1">
      <c r="A22" s="146" t="s">
        <v>68</v>
      </c>
      <c r="B22" s="144"/>
      <c r="C22" s="145"/>
      <c r="D22" s="15">
        <v>1.5</v>
      </c>
      <c r="E22" s="15">
        <v>50</v>
      </c>
      <c r="F22" s="6" t="s">
        <v>158</v>
      </c>
      <c r="G22" s="66" t="s">
        <v>159</v>
      </c>
      <c r="H22" s="6"/>
      <c r="I22" s="5"/>
      <c r="J22" s="6"/>
      <c r="K22" s="5"/>
      <c r="L22" s="5"/>
    </row>
    <row r="23" spans="1:12" ht="12" customHeight="1">
      <c r="A23" s="146" t="s">
        <v>68</v>
      </c>
      <c r="B23" s="144"/>
      <c r="C23" s="145"/>
      <c r="D23" s="4">
        <v>1.8</v>
      </c>
      <c r="E23" s="4">
        <v>45</v>
      </c>
      <c r="F23" s="6" t="s">
        <v>158</v>
      </c>
      <c r="G23" s="66" t="s">
        <v>159</v>
      </c>
      <c r="H23" s="6"/>
      <c r="I23" s="5"/>
      <c r="J23" s="6"/>
      <c r="K23" s="5"/>
      <c r="L23" s="5"/>
    </row>
    <row r="24" spans="1:12" ht="12.75" customHeight="1">
      <c r="A24" s="146" t="s">
        <v>92</v>
      </c>
      <c r="B24" s="144"/>
      <c r="C24" s="145"/>
      <c r="D24" s="4">
        <v>1.5</v>
      </c>
      <c r="E24" s="4">
        <v>50</v>
      </c>
      <c r="F24" s="6" t="s">
        <v>158</v>
      </c>
      <c r="G24" s="66" t="s">
        <v>159</v>
      </c>
      <c r="H24" s="6"/>
      <c r="I24" s="5"/>
      <c r="J24" s="6"/>
      <c r="K24" s="5"/>
      <c r="L24" s="5"/>
    </row>
    <row r="25" spans="1:12" ht="12" customHeight="1">
      <c r="A25" s="146" t="s">
        <v>61</v>
      </c>
      <c r="B25" s="144"/>
      <c r="C25" s="145"/>
      <c r="D25" s="4">
        <v>0.35</v>
      </c>
      <c r="E25" s="4">
        <v>15</v>
      </c>
      <c r="F25" s="6" t="s">
        <v>158</v>
      </c>
      <c r="G25" s="66" t="s">
        <v>159</v>
      </c>
      <c r="H25" s="6"/>
      <c r="I25" s="5"/>
      <c r="J25" s="6"/>
      <c r="K25" s="5"/>
      <c r="L25" s="5"/>
    </row>
    <row r="26" spans="1:12" ht="12" customHeight="1">
      <c r="A26" s="146" t="s">
        <v>61</v>
      </c>
      <c r="B26" s="144"/>
      <c r="C26" s="145"/>
      <c r="D26" s="4">
        <v>0.5</v>
      </c>
      <c r="E26" s="4">
        <v>15</v>
      </c>
      <c r="F26" s="6" t="s">
        <v>158</v>
      </c>
      <c r="G26" s="66" t="s">
        <v>159</v>
      </c>
      <c r="H26" s="6"/>
      <c r="I26" s="5"/>
      <c r="J26" s="6"/>
      <c r="K26" s="5"/>
      <c r="L26" s="5"/>
    </row>
    <row r="27" spans="1:12" ht="12.75" customHeight="1">
      <c r="A27" s="146" t="s">
        <v>62</v>
      </c>
      <c r="B27" s="144"/>
      <c r="C27" s="145"/>
      <c r="D27" s="4">
        <v>1</v>
      </c>
      <c r="E27" s="4">
        <v>15</v>
      </c>
      <c r="F27" s="6" t="s">
        <v>158</v>
      </c>
      <c r="G27" s="66" t="s">
        <v>159</v>
      </c>
      <c r="H27" s="6"/>
      <c r="I27" s="5"/>
      <c r="J27" s="6"/>
      <c r="K27" s="5"/>
      <c r="L27" s="5"/>
    </row>
    <row r="28" spans="1:12" ht="13.5" customHeight="1">
      <c r="A28" s="146" t="s">
        <v>62</v>
      </c>
      <c r="B28" s="150"/>
      <c r="C28" s="151"/>
      <c r="D28" s="4">
        <v>1.5</v>
      </c>
      <c r="E28" s="4">
        <v>15</v>
      </c>
      <c r="F28" s="6" t="s">
        <v>158</v>
      </c>
      <c r="G28" s="66" t="s">
        <v>159</v>
      </c>
      <c r="H28" s="6"/>
      <c r="I28" s="5"/>
      <c r="J28" s="6"/>
      <c r="K28" s="5"/>
      <c r="L28" s="5"/>
    </row>
    <row r="29" spans="1:12" ht="12.75" customHeight="1">
      <c r="A29" s="146" t="s">
        <v>62</v>
      </c>
      <c r="B29" s="144"/>
      <c r="C29" s="145"/>
      <c r="D29" s="4">
        <v>2</v>
      </c>
      <c r="E29" s="4">
        <v>15</v>
      </c>
      <c r="F29" s="6" t="s">
        <v>158</v>
      </c>
      <c r="G29" s="66" t="s">
        <v>159</v>
      </c>
      <c r="H29" s="6"/>
      <c r="I29" s="5"/>
      <c r="J29" s="6"/>
      <c r="K29" s="5"/>
      <c r="L29" s="5"/>
    </row>
    <row r="30" spans="1:12" ht="18" customHeight="1">
      <c r="A30" s="138" t="s">
        <v>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52"/>
    </row>
    <row r="31" spans="1:12" ht="15.75">
      <c r="A31" s="146" t="s">
        <v>100</v>
      </c>
      <c r="B31" s="144"/>
      <c r="C31" s="145"/>
      <c r="D31" s="4">
        <v>1</v>
      </c>
      <c r="E31" s="4">
        <v>15</v>
      </c>
      <c r="F31" s="6" t="s">
        <v>158</v>
      </c>
      <c r="G31" s="66" t="s">
        <v>159</v>
      </c>
      <c r="H31" s="6"/>
      <c r="I31" s="5"/>
      <c r="J31" s="6"/>
      <c r="K31" s="5"/>
      <c r="L31" s="5"/>
    </row>
    <row r="32" spans="1:12" ht="12" customHeight="1">
      <c r="A32" s="146" t="s">
        <v>86</v>
      </c>
      <c r="B32" s="144"/>
      <c r="C32" s="145"/>
      <c r="D32" s="4">
        <v>1</v>
      </c>
      <c r="E32" s="4">
        <v>15</v>
      </c>
      <c r="F32" s="6" t="s">
        <v>158</v>
      </c>
      <c r="G32" s="66" t="s">
        <v>159</v>
      </c>
      <c r="H32" s="6"/>
      <c r="I32" s="5"/>
      <c r="J32" s="6"/>
      <c r="K32" s="5"/>
      <c r="L32" s="5"/>
    </row>
    <row r="33" spans="1:12" ht="12.75" customHeight="1">
      <c r="A33" s="146" t="s">
        <v>63</v>
      </c>
      <c r="B33" s="144"/>
      <c r="C33" s="145"/>
      <c r="D33" s="4">
        <v>1</v>
      </c>
      <c r="E33" s="4">
        <v>15</v>
      </c>
      <c r="F33" s="6" t="s">
        <v>158</v>
      </c>
      <c r="G33" s="66" t="s">
        <v>159</v>
      </c>
      <c r="H33" s="6"/>
      <c r="I33" s="5"/>
      <c r="J33" s="6"/>
      <c r="K33" s="5"/>
      <c r="L33" s="5"/>
    </row>
    <row r="34" spans="1:12" ht="12.75" customHeight="1">
      <c r="A34" s="146" t="s">
        <v>87</v>
      </c>
      <c r="B34" s="144"/>
      <c r="C34" s="145"/>
      <c r="D34" s="4">
        <v>1</v>
      </c>
      <c r="E34" s="4">
        <v>15</v>
      </c>
      <c r="F34" s="6" t="s">
        <v>158</v>
      </c>
      <c r="G34" s="66" t="s">
        <v>159</v>
      </c>
      <c r="H34" s="6"/>
      <c r="I34" s="5"/>
      <c r="J34" s="6"/>
      <c r="K34" s="5"/>
      <c r="L34" s="5"/>
    </row>
    <row r="35" spans="1:12" ht="12.75" customHeight="1">
      <c r="A35" s="148" t="s">
        <v>78</v>
      </c>
      <c r="B35" s="149"/>
      <c r="C35" s="149"/>
      <c r="D35" s="4">
        <v>1</v>
      </c>
      <c r="E35" s="4">
        <v>15</v>
      </c>
      <c r="F35" s="6" t="s">
        <v>158</v>
      </c>
      <c r="G35" s="66" t="s">
        <v>159</v>
      </c>
      <c r="H35" s="6"/>
      <c r="I35" s="5"/>
      <c r="J35" s="6"/>
      <c r="K35" s="5"/>
      <c r="L35" s="5"/>
    </row>
    <row r="36" spans="1:12" ht="13.5" customHeight="1">
      <c r="A36" s="146" t="s">
        <v>64</v>
      </c>
      <c r="B36" s="144"/>
      <c r="C36" s="145"/>
      <c r="D36" s="4">
        <v>1</v>
      </c>
      <c r="E36" s="4">
        <v>25</v>
      </c>
      <c r="F36" s="6" t="s">
        <v>158</v>
      </c>
      <c r="G36" s="66" t="s">
        <v>159</v>
      </c>
      <c r="H36" s="6"/>
      <c r="I36" s="5"/>
      <c r="J36" s="6"/>
      <c r="K36" s="5"/>
      <c r="L36" s="5"/>
    </row>
    <row r="37" spans="1:12" ht="12" customHeight="1">
      <c r="A37" s="146" t="s">
        <v>54</v>
      </c>
      <c r="B37" s="144"/>
      <c r="C37" s="145"/>
      <c r="D37" s="4">
        <v>1</v>
      </c>
      <c r="E37" s="4">
        <v>30</v>
      </c>
      <c r="F37" s="6" t="s">
        <v>158</v>
      </c>
      <c r="G37" s="66" t="s">
        <v>159</v>
      </c>
      <c r="H37" s="6"/>
      <c r="I37" s="5"/>
      <c r="J37" s="6"/>
      <c r="K37" s="5"/>
      <c r="L37" s="5"/>
    </row>
    <row r="38" spans="1:12" ht="13.5" customHeight="1">
      <c r="A38" s="146" t="s">
        <v>124</v>
      </c>
      <c r="B38" s="144"/>
      <c r="C38" s="145"/>
      <c r="D38" s="4">
        <v>1</v>
      </c>
      <c r="E38" s="4">
        <v>25</v>
      </c>
      <c r="F38" s="6" t="s">
        <v>158</v>
      </c>
      <c r="G38" s="66" t="s">
        <v>159</v>
      </c>
      <c r="H38" s="6"/>
      <c r="I38" s="5"/>
      <c r="J38" s="6"/>
      <c r="K38" s="5"/>
      <c r="L38" s="5"/>
    </row>
    <row r="39" spans="1:12" ht="13.5" customHeight="1">
      <c r="A39" s="146" t="s">
        <v>33</v>
      </c>
      <c r="B39" s="144"/>
      <c r="C39" s="145"/>
      <c r="D39" s="4">
        <v>1</v>
      </c>
      <c r="E39" s="4">
        <v>15</v>
      </c>
      <c r="F39" s="6" t="s">
        <v>158</v>
      </c>
      <c r="G39" s="66" t="s">
        <v>159</v>
      </c>
      <c r="H39" s="6"/>
      <c r="I39" s="5"/>
      <c r="J39" s="6"/>
      <c r="K39" s="5"/>
      <c r="L39" s="5"/>
    </row>
    <row r="40" spans="1:12" ht="13.5" customHeight="1">
      <c r="A40" s="146" t="s">
        <v>102</v>
      </c>
      <c r="B40" s="144"/>
      <c r="C40" s="145"/>
      <c r="D40" s="4">
        <v>1</v>
      </c>
      <c r="E40" s="4">
        <v>25</v>
      </c>
      <c r="F40" s="6" t="s">
        <v>158</v>
      </c>
      <c r="G40" s="66" t="s">
        <v>159</v>
      </c>
      <c r="H40" s="6"/>
      <c r="I40" s="5"/>
      <c r="J40" s="6"/>
      <c r="K40" s="5"/>
      <c r="L40" s="5"/>
    </row>
    <row r="41" spans="1:12" ht="13.5" customHeight="1">
      <c r="A41" s="146" t="s">
        <v>98</v>
      </c>
      <c r="B41" s="144"/>
      <c r="C41" s="145"/>
      <c r="D41" s="4">
        <v>1</v>
      </c>
      <c r="E41" s="4">
        <v>25</v>
      </c>
      <c r="F41" s="6" t="s">
        <v>158</v>
      </c>
      <c r="G41" s="66" t="s">
        <v>159</v>
      </c>
      <c r="H41" s="6"/>
      <c r="I41" s="5"/>
      <c r="J41" s="6"/>
      <c r="K41" s="5"/>
      <c r="L41" s="5"/>
    </row>
    <row r="42" spans="1:12" ht="13.5" customHeight="1">
      <c r="A42" s="146" t="s">
        <v>103</v>
      </c>
      <c r="B42" s="144"/>
      <c r="C42" s="145"/>
      <c r="D42" s="4">
        <v>1</v>
      </c>
      <c r="E42" s="4">
        <v>24</v>
      </c>
      <c r="F42" s="6" t="s">
        <v>158</v>
      </c>
      <c r="G42" s="66" t="s">
        <v>159</v>
      </c>
      <c r="H42" s="6"/>
      <c r="I42" s="5"/>
      <c r="J42" s="6"/>
      <c r="K42" s="5"/>
      <c r="L42" s="5"/>
    </row>
    <row r="43" spans="1:12" ht="12.75" customHeight="1">
      <c r="A43" s="146" t="s">
        <v>44</v>
      </c>
      <c r="B43" s="144"/>
      <c r="C43" s="145"/>
      <c r="D43" s="4">
        <v>1</v>
      </c>
      <c r="E43" s="4">
        <v>50</v>
      </c>
      <c r="F43" s="6" t="s">
        <v>158</v>
      </c>
      <c r="G43" s="66" t="s">
        <v>159</v>
      </c>
      <c r="H43" s="6"/>
      <c r="I43" s="5"/>
      <c r="J43" s="6"/>
      <c r="K43" s="5"/>
      <c r="L43" s="5"/>
    </row>
    <row r="44" spans="1:12" ht="12.75" customHeight="1">
      <c r="A44" s="146" t="s">
        <v>44</v>
      </c>
      <c r="B44" s="144"/>
      <c r="C44" s="145"/>
      <c r="D44" s="4">
        <v>1.5</v>
      </c>
      <c r="E44" s="4">
        <v>50</v>
      </c>
      <c r="F44" s="6" t="s">
        <v>158</v>
      </c>
      <c r="G44" s="66" t="s">
        <v>159</v>
      </c>
      <c r="H44" s="6"/>
      <c r="I44" s="5"/>
      <c r="J44" s="6"/>
      <c r="K44" s="5"/>
      <c r="L44" s="5"/>
    </row>
    <row r="45" spans="1:12" ht="13.5" customHeight="1">
      <c r="A45" s="146" t="s">
        <v>79</v>
      </c>
      <c r="B45" s="144"/>
      <c r="C45" s="145"/>
      <c r="D45" s="4">
        <v>1</v>
      </c>
      <c r="E45" s="4">
        <v>50</v>
      </c>
      <c r="F45" s="6" t="s">
        <v>158</v>
      </c>
      <c r="G45" s="66" t="s">
        <v>159</v>
      </c>
      <c r="H45" s="6"/>
      <c r="I45" s="5"/>
      <c r="J45" s="6"/>
      <c r="K45" s="5"/>
      <c r="L45" s="5"/>
    </row>
    <row r="46" spans="1:12" ht="13.5" customHeight="1">
      <c r="A46" s="147" t="s">
        <v>9</v>
      </c>
      <c r="B46" s="147"/>
      <c r="C46" s="147"/>
      <c r="D46" s="4">
        <v>1</v>
      </c>
      <c r="E46" s="4">
        <v>50</v>
      </c>
      <c r="F46" s="6" t="s">
        <v>158</v>
      </c>
      <c r="G46" s="66" t="s">
        <v>159</v>
      </c>
      <c r="H46" s="6"/>
      <c r="I46" s="5"/>
      <c r="J46" s="6"/>
      <c r="K46" s="5"/>
      <c r="L46" s="5"/>
    </row>
    <row r="47" spans="1:12" ht="13.5" customHeight="1">
      <c r="A47" s="147" t="s">
        <v>9</v>
      </c>
      <c r="B47" s="147"/>
      <c r="C47" s="147"/>
      <c r="D47" s="4">
        <v>1.5</v>
      </c>
      <c r="E47" s="4">
        <v>50</v>
      </c>
      <c r="F47" s="6" t="s">
        <v>158</v>
      </c>
      <c r="G47" s="66" t="s">
        <v>159</v>
      </c>
      <c r="H47" s="6"/>
      <c r="I47" s="5"/>
      <c r="J47" s="6"/>
      <c r="K47" s="5"/>
      <c r="L47" s="5"/>
    </row>
    <row r="48" spans="1:12" ht="13.5" customHeight="1">
      <c r="A48" s="146" t="s">
        <v>96</v>
      </c>
      <c r="B48" s="144"/>
      <c r="C48" s="145"/>
      <c r="D48" s="4">
        <v>1</v>
      </c>
      <c r="E48" s="4">
        <v>50</v>
      </c>
      <c r="F48" s="6" t="s">
        <v>158</v>
      </c>
      <c r="G48" s="66" t="s">
        <v>159</v>
      </c>
      <c r="H48" s="6"/>
      <c r="I48" s="5"/>
      <c r="J48" s="6"/>
      <c r="K48" s="5"/>
      <c r="L48" s="5"/>
    </row>
    <row r="49" spans="1:12" ht="12" customHeight="1">
      <c r="A49" s="146" t="s">
        <v>30</v>
      </c>
      <c r="B49" s="144"/>
      <c r="C49" s="145"/>
      <c r="D49" s="4">
        <v>1</v>
      </c>
      <c r="E49" s="4">
        <v>50</v>
      </c>
      <c r="F49" s="6" t="s">
        <v>158</v>
      </c>
      <c r="G49" s="66" t="s">
        <v>159</v>
      </c>
      <c r="H49" s="6"/>
      <c r="I49" s="5"/>
      <c r="J49" s="6"/>
      <c r="K49" s="5"/>
      <c r="L49" s="5"/>
    </row>
    <row r="50" spans="1:12" ht="12" customHeight="1">
      <c r="A50" s="143" t="s">
        <v>104</v>
      </c>
      <c r="B50" s="144"/>
      <c r="C50" s="145"/>
      <c r="D50" s="17">
        <v>1</v>
      </c>
      <c r="E50" s="17">
        <v>50</v>
      </c>
      <c r="F50" s="6" t="s">
        <v>158</v>
      </c>
      <c r="G50" s="66" t="s">
        <v>159</v>
      </c>
      <c r="H50" s="6"/>
      <c r="I50" s="5"/>
      <c r="J50" s="6"/>
      <c r="K50" s="18"/>
      <c r="L50" s="18"/>
    </row>
    <row r="51" spans="1:12" ht="12" customHeight="1">
      <c r="A51" s="143" t="s">
        <v>104</v>
      </c>
      <c r="B51" s="144"/>
      <c r="C51" s="145"/>
      <c r="D51" s="17">
        <v>1.5</v>
      </c>
      <c r="E51" s="17">
        <v>50</v>
      </c>
      <c r="F51" s="6" t="s">
        <v>158</v>
      </c>
      <c r="G51" s="66" t="s">
        <v>159</v>
      </c>
      <c r="H51" s="6"/>
      <c r="I51" s="5"/>
      <c r="J51" s="6"/>
      <c r="K51" s="18"/>
      <c r="L51" s="18"/>
    </row>
    <row r="52" spans="1:12" ht="12" customHeight="1">
      <c r="A52" s="143" t="s">
        <v>104</v>
      </c>
      <c r="B52" s="144"/>
      <c r="C52" s="145"/>
      <c r="D52" s="17">
        <v>1.8</v>
      </c>
      <c r="E52" s="17">
        <v>50</v>
      </c>
      <c r="F52" s="6" t="s">
        <v>158</v>
      </c>
      <c r="G52" s="66" t="s">
        <v>159</v>
      </c>
      <c r="H52" s="6"/>
      <c r="I52" s="5"/>
      <c r="J52" s="6"/>
      <c r="K52" s="18"/>
      <c r="L52" s="18"/>
    </row>
    <row r="53" spans="1:12" ht="12" customHeight="1">
      <c r="A53" s="143" t="s">
        <v>32</v>
      </c>
      <c r="B53" s="144"/>
      <c r="C53" s="145"/>
      <c r="D53" s="17">
        <v>1</v>
      </c>
      <c r="E53" s="17">
        <v>50</v>
      </c>
      <c r="F53" s="6" t="s">
        <v>158</v>
      </c>
      <c r="G53" s="66" t="s">
        <v>159</v>
      </c>
      <c r="H53" s="6"/>
      <c r="I53" s="5"/>
      <c r="J53" s="6"/>
      <c r="K53" s="18"/>
      <c r="L53" s="18"/>
    </row>
    <row r="54" spans="1:12" ht="13.5" customHeight="1">
      <c r="A54" s="143" t="s">
        <v>88</v>
      </c>
      <c r="B54" s="144"/>
      <c r="C54" s="145"/>
      <c r="D54" s="17">
        <v>1.8</v>
      </c>
      <c r="E54" s="17">
        <v>50</v>
      </c>
      <c r="F54" s="6" t="s">
        <v>158</v>
      </c>
      <c r="G54" s="66" t="s">
        <v>159</v>
      </c>
      <c r="H54" s="6"/>
      <c r="I54" s="5"/>
      <c r="J54" s="6"/>
      <c r="K54" s="18"/>
      <c r="L54" s="18"/>
    </row>
    <row r="55" spans="1:12" ht="13.5" customHeight="1">
      <c r="A55" s="143" t="s">
        <v>8</v>
      </c>
      <c r="B55" s="144"/>
      <c r="C55" s="145"/>
      <c r="D55" s="17">
        <v>1.5</v>
      </c>
      <c r="E55" s="17">
        <v>15</v>
      </c>
      <c r="F55" s="6" t="s">
        <v>158</v>
      </c>
      <c r="G55" s="66" t="s">
        <v>159</v>
      </c>
      <c r="H55" s="6"/>
      <c r="I55" s="5"/>
      <c r="J55" s="6"/>
      <c r="K55" s="18"/>
      <c r="L55" s="18"/>
    </row>
    <row r="56" spans="1:12" ht="13.5" customHeight="1">
      <c r="A56" s="143" t="s">
        <v>8</v>
      </c>
      <c r="B56" s="144"/>
      <c r="C56" s="145"/>
      <c r="D56" s="17">
        <v>1.5</v>
      </c>
      <c r="E56" s="17">
        <v>50</v>
      </c>
      <c r="F56" s="6" t="s">
        <v>158</v>
      </c>
      <c r="G56" s="66" t="s">
        <v>159</v>
      </c>
      <c r="H56" s="6"/>
      <c r="I56" s="5"/>
      <c r="J56" s="6"/>
      <c r="K56" s="18"/>
      <c r="L56" s="18"/>
    </row>
    <row r="57" spans="1:12" ht="13.5" customHeight="1">
      <c r="A57" s="143" t="s">
        <v>20</v>
      </c>
      <c r="B57" s="144"/>
      <c r="C57" s="145"/>
      <c r="D57" s="17">
        <v>1.8</v>
      </c>
      <c r="E57" s="17">
        <v>50</v>
      </c>
      <c r="F57" s="6" t="s">
        <v>158</v>
      </c>
      <c r="G57" s="66" t="s">
        <v>159</v>
      </c>
      <c r="H57" s="6"/>
      <c r="I57" s="5"/>
      <c r="J57" s="6"/>
      <c r="K57" s="18"/>
      <c r="L57" s="18"/>
    </row>
    <row r="58" spans="1:12" ht="13.5" customHeight="1">
      <c r="A58" s="146" t="s">
        <v>1</v>
      </c>
      <c r="B58" s="144"/>
      <c r="C58" s="145"/>
      <c r="D58" s="4">
        <v>1.5</v>
      </c>
      <c r="E58" s="4">
        <v>45</v>
      </c>
      <c r="F58" s="6" t="s">
        <v>158</v>
      </c>
      <c r="G58" s="66" t="s">
        <v>159</v>
      </c>
      <c r="H58" s="6"/>
      <c r="I58" s="5"/>
      <c r="J58" s="6"/>
      <c r="K58" s="5"/>
      <c r="L58" s="5"/>
    </row>
    <row r="59" spans="1:12" ht="13.5" customHeight="1">
      <c r="A59" s="146" t="s">
        <v>31</v>
      </c>
      <c r="B59" s="144"/>
      <c r="C59" s="145"/>
      <c r="D59" s="4">
        <v>1</v>
      </c>
      <c r="E59" s="4">
        <v>15</v>
      </c>
      <c r="F59" s="6" t="s">
        <v>158</v>
      </c>
      <c r="G59" s="66" t="s">
        <v>159</v>
      </c>
      <c r="H59" s="6"/>
      <c r="I59" s="5"/>
      <c r="J59" s="6"/>
      <c r="K59" s="5"/>
      <c r="L59" s="5"/>
    </row>
    <row r="60" spans="1:12" ht="13.5" customHeight="1">
      <c r="A60" s="146" t="s">
        <v>31</v>
      </c>
      <c r="B60" s="144"/>
      <c r="C60" s="145"/>
      <c r="D60" s="4">
        <v>1.5</v>
      </c>
      <c r="E60" s="4">
        <v>15</v>
      </c>
      <c r="F60" s="6" t="s">
        <v>158</v>
      </c>
      <c r="G60" s="66" t="s">
        <v>159</v>
      </c>
      <c r="H60" s="6"/>
      <c r="I60" s="5"/>
      <c r="J60" s="6"/>
      <c r="K60" s="5"/>
      <c r="L60" s="5"/>
    </row>
    <row r="61" spans="1:12" ht="15.75">
      <c r="A61" s="146" t="s">
        <v>31</v>
      </c>
      <c r="B61" s="144"/>
      <c r="C61" s="145"/>
      <c r="D61" s="4">
        <v>2</v>
      </c>
      <c r="E61" s="4">
        <v>15</v>
      </c>
      <c r="F61" s="6" t="s">
        <v>158</v>
      </c>
      <c r="G61" s="66" t="s">
        <v>159</v>
      </c>
      <c r="H61" s="6"/>
      <c r="I61" s="5"/>
      <c r="J61" s="6"/>
      <c r="K61" s="5"/>
      <c r="L61" s="5"/>
    </row>
    <row r="62" ht="9" customHeight="1"/>
    <row r="63" spans="1:10" ht="15.75">
      <c r="A63" s="24" t="s">
        <v>43</v>
      </c>
      <c r="B63" s="28"/>
      <c r="C63" s="28"/>
      <c r="D63" s="28"/>
      <c r="E63" s="28"/>
      <c r="F63" s="28"/>
      <c r="G63" s="28"/>
      <c r="H63" s="28"/>
      <c r="I63" s="28"/>
      <c r="J63" s="28"/>
    </row>
  </sheetData>
  <sheetProtection/>
  <mergeCells count="58">
    <mergeCell ref="A9:C9"/>
    <mergeCell ref="A10:C10"/>
    <mergeCell ref="A37:C37"/>
    <mergeCell ref="A30:L30"/>
    <mergeCell ref="A4:C4"/>
    <mergeCell ref="A15:C15"/>
    <mergeCell ref="A16:C16"/>
    <mergeCell ref="A5:L5"/>
    <mergeCell ref="A6:C6"/>
    <mergeCell ref="A14:C14"/>
    <mergeCell ref="A7:C7"/>
    <mergeCell ref="A8:C8"/>
    <mergeCell ref="A24:C24"/>
    <mergeCell ref="A23:C23"/>
    <mergeCell ref="A35:C35"/>
    <mergeCell ref="A28:C28"/>
    <mergeCell ref="A29:C29"/>
    <mergeCell ref="A27:C27"/>
    <mergeCell ref="A31:C31"/>
    <mergeCell ref="A11:C11"/>
    <mergeCell ref="A41:C41"/>
    <mergeCell ref="A43:C43"/>
    <mergeCell ref="A47:C47"/>
    <mergeCell ref="A48:C48"/>
    <mergeCell ref="A44:C44"/>
    <mergeCell ref="A32:C32"/>
    <mergeCell ref="A34:C34"/>
    <mergeCell ref="A36:C36"/>
    <mergeCell ref="A33:C33"/>
    <mergeCell ref="A39:C39"/>
    <mergeCell ref="A19:C19"/>
    <mergeCell ref="A22:C22"/>
    <mergeCell ref="A25:C25"/>
    <mergeCell ref="A26:C26"/>
    <mergeCell ref="A17:C17"/>
    <mergeCell ref="A20:C20"/>
    <mergeCell ref="A21:C21"/>
    <mergeCell ref="A18:C18"/>
    <mergeCell ref="A55:C55"/>
    <mergeCell ref="A51:C51"/>
    <mergeCell ref="A12:C12"/>
    <mergeCell ref="A38:C38"/>
    <mergeCell ref="A45:C45"/>
    <mergeCell ref="A40:C40"/>
    <mergeCell ref="A46:C46"/>
    <mergeCell ref="A49:C49"/>
    <mergeCell ref="A42:C42"/>
    <mergeCell ref="A13:C13"/>
    <mergeCell ref="A50:C50"/>
    <mergeCell ref="A61:C61"/>
    <mergeCell ref="A58:C58"/>
    <mergeCell ref="A52:C52"/>
    <mergeCell ref="A56:C56"/>
    <mergeCell ref="A53:C53"/>
    <mergeCell ref="A60:C60"/>
    <mergeCell ref="A59:C59"/>
    <mergeCell ref="A57:C57"/>
    <mergeCell ref="A54:C5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3"/>
  <sheetViews>
    <sheetView zoomScalePageLayoutView="0" workbookViewId="0" topLeftCell="A1">
      <selection activeCell="M49" sqref="M49"/>
    </sheetView>
  </sheetViews>
  <sheetFormatPr defaultColWidth="9.00390625" defaultRowHeight="12.75"/>
  <cols>
    <col min="3" max="3" width="5.25390625" style="0" customWidth="1"/>
    <col min="4" max="4" width="10.00390625" style="0" customWidth="1"/>
    <col min="5" max="5" width="10.125" style="0" customWidth="1"/>
    <col min="6" max="6" width="10.875" style="0" customWidth="1"/>
    <col min="7" max="7" width="11.75390625" style="0" customWidth="1"/>
    <col min="8" max="8" width="10.125" style="0" customWidth="1"/>
    <col min="9" max="9" width="12.875" style="0" customWidth="1"/>
    <col min="10" max="10" width="11.00390625" style="0" customWidth="1"/>
  </cols>
  <sheetData>
    <row r="1" spans="1:10" ht="1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2">
        <v>45271</v>
      </c>
    </row>
    <row r="2" spans="1:10" ht="13.5" customHeight="1">
      <c r="A2" s="38" t="s">
        <v>6</v>
      </c>
      <c r="B2" s="39"/>
      <c r="C2" s="39"/>
      <c r="D2" s="39"/>
      <c r="E2" s="39"/>
      <c r="F2" s="40"/>
      <c r="G2" s="25" t="s">
        <v>72</v>
      </c>
      <c r="H2" s="41"/>
      <c r="I2" s="41"/>
      <c r="J2" s="42" t="s">
        <v>46</v>
      </c>
    </row>
    <row r="3" spans="1:10" ht="28.5" customHeight="1">
      <c r="A3" s="136" t="s">
        <v>51</v>
      </c>
      <c r="B3" s="137"/>
      <c r="C3" s="153"/>
      <c r="D3" s="30" t="s">
        <v>39</v>
      </c>
      <c r="E3" s="30" t="s">
        <v>38</v>
      </c>
      <c r="F3" s="31" t="s">
        <v>99</v>
      </c>
      <c r="G3" s="30" t="s">
        <v>40</v>
      </c>
      <c r="H3" s="31" t="s">
        <v>45</v>
      </c>
      <c r="I3" s="30" t="s">
        <v>40</v>
      </c>
      <c r="J3" s="31" t="s">
        <v>37</v>
      </c>
    </row>
    <row r="4" spans="1:10" ht="12.75" customHeight="1">
      <c r="A4" s="138" t="s">
        <v>47</v>
      </c>
      <c r="B4" s="139"/>
      <c r="C4" s="139"/>
      <c r="D4" s="139"/>
      <c r="E4" s="139"/>
      <c r="F4" s="139"/>
      <c r="G4" s="139"/>
      <c r="H4" s="139"/>
      <c r="I4" s="139"/>
      <c r="J4" s="152"/>
    </row>
    <row r="5" spans="1:10" ht="12.75" customHeight="1">
      <c r="A5" s="146" t="s">
        <v>108</v>
      </c>
      <c r="B5" s="144"/>
      <c r="C5" s="145"/>
      <c r="D5" s="4">
        <v>1</v>
      </c>
      <c r="E5" s="4">
        <v>10</v>
      </c>
      <c r="F5" s="6" t="s">
        <v>158</v>
      </c>
      <c r="G5" s="66" t="s">
        <v>159</v>
      </c>
      <c r="H5" s="5"/>
      <c r="I5" s="6"/>
      <c r="J5" s="5"/>
    </row>
    <row r="6" spans="1:10" ht="12" customHeight="1">
      <c r="A6" s="146" t="s">
        <v>109</v>
      </c>
      <c r="B6" s="144"/>
      <c r="C6" s="145"/>
      <c r="D6" s="4">
        <v>1.5</v>
      </c>
      <c r="E6" s="4">
        <v>10</v>
      </c>
      <c r="F6" s="6" t="s">
        <v>158</v>
      </c>
      <c r="G6" s="66" t="s">
        <v>159</v>
      </c>
      <c r="H6" s="5"/>
      <c r="I6" s="6"/>
      <c r="J6" s="5"/>
    </row>
    <row r="7" spans="1:10" ht="12" customHeight="1">
      <c r="A7" s="138" t="s">
        <v>49</v>
      </c>
      <c r="B7" s="139"/>
      <c r="C7" s="139"/>
      <c r="D7" s="139"/>
      <c r="E7" s="139"/>
      <c r="F7" s="139"/>
      <c r="G7" s="139"/>
      <c r="H7" s="139"/>
      <c r="I7" s="139"/>
      <c r="J7" s="152"/>
    </row>
    <row r="8" spans="1:10" ht="13.5" customHeight="1" thickBot="1">
      <c r="A8" s="175" t="s">
        <v>97</v>
      </c>
      <c r="B8" s="178"/>
      <c r="C8" s="179"/>
      <c r="D8" s="57">
        <v>2</v>
      </c>
      <c r="E8" s="57">
        <v>10</v>
      </c>
      <c r="F8" s="6" t="s">
        <v>158</v>
      </c>
      <c r="G8" s="66" t="s">
        <v>159</v>
      </c>
      <c r="H8" s="8"/>
      <c r="I8" s="9"/>
      <c r="J8" s="58"/>
    </row>
    <row r="9" spans="1:10" ht="14.25" customHeight="1" thickBot="1" thickTop="1">
      <c r="A9" s="175" t="s">
        <v>117</v>
      </c>
      <c r="B9" s="176"/>
      <c r="C9" s="177"/>
      <c r="D9" s="13">
        <v>1.8</v>
      </c>
      <c r="E9" s="13">
        <v>10</v>
      </c>
      <c r="F9" s="6" t="s">
        <v>158</v>
      </c>
      <c r="G9" s="66" t="s">
        <v>159</v>
      </c>
      <c r="H9" s="58"/>
      <c r="I9" s="59"/>
      <c r="J9" s="8"/>
    </row>
    <row r="10" spans="1:10" ht="13.5" customHeight="1" thickBot="1" thickTop="1">
      <c r="A10" s="168" t="s">
        <v>118</v>
      </c>
      <c r="B10" s="169"/>
      <c r="C10" s="170"/>
      <c r="D10" s="13">
        <v>2</v>
      </c>
      <c r="E10" s="13">
        <v>10</v>
      </c>
      <c r="F10" s="6" t="s">
        <v>158</v>
      </c>
      <c r="G10" s="66" t="s">
        <v>159</v>
      </c>
      <c r="H10" s="8"/>
      <c r="I10" s="9"/>
      <c r="J10" s="8"/>
    </row>
    <row r="11" spans="1:10" ht="15.75" customHeight="1" thickBot="1" thickTop="1">
      <c r="A11" s="168" t="s">
        <v>115</v>
      </c>
      <c r="B11" s="169"/>
      <c r="C11" s="170"/>
      <c r="D11" s="14">
        <v>1.2</v>
      </c>
      <c r="E11" s="14">
        <v>10</v>
      </c>
      <c r="F11" s="6" t="s">
        <v>158</v>
      </c>
      <c r="G11" s="66" t="s">
        <v>159</v>
      </c>
      <c r="H11" s="10"/>
      <c r="I11" s="11"/>
      <c r="J11" s="10"/>
    </row>
    <row r="12" spans="1:10" ht="13.5" customHeight="1" thickBot="1" thickTop="1">
      <c r="A12" s="173" t="s">
        <v>116</v>
      </c>
      <c r="B12" s="174"/>
      <c r="C12" s="120"/>
      <c r="D12" s="55">
        <v>1.5</v>
      </c>
      <c r="E12" s="55">
        <v>10</v>
      </c>
      <c r="F12" s="6" t="s">
        <v>158</v>
      </c>
      <c r="G12" s="66" t="s">
        <v>159</v>
      </c>
      <c r="H12" s="62"/>
      <c r="I12" s="63"/>
      <c r="J12" s="56"/>
    </row>
    <row r="13" spans="1:10" ht="12.75" customHeight="1" thickTop="1">
      <c r="A13" s="173" t="s">
        <v>82</v>
      </c>
      <c r="B13" s="174"/>
      <c r="C13" s="120"/>
      <c r="D13" s="60">
        <v>1.5</v>
      </c>
      <c r="E13" s="60">
        <v>10</v>
      </c>
      <c r="F13" s="6" t="s">
        <v>158</v>
      </c>
      <c r="G13" s="66" t="s">
        <v>159</v>
      </c>
      <c r="H13" s="62"/>
      <c r="I13" s="63"/>
      <c r="J13" s="61"/>
    </row>
    <row r="14" spans="1:10" ht="12.75" customHeight="1">
      <c r="A14" s="143" t="s">
        <v>82</v>
      </c>
      <c r="B14" s="184"/>
      <c r="C14" s="145"/>
      <c r="D14" s="17">
        <v>1.8</v>
      </c>
      <c r="E14" s="17">
        <v>10</v>
      </c>
      <c r="F14" s="6" t="s">
        <v>158</v>
      </c>
      <c r="G14" s="66" t="s">
        <v>159</v>
      </c>
      <c r="H14" s="18"/>
      <c r="I14" s="19"/>
      <c r="J14" s="18"/>
    </row>
    <row r="15" spans="1:10" ht="12.75" customHeight="1">
      <c r="A15" s="180" t="s">
        <v>82</v>
      </c>
      <c r="B15" s="181"/>
      <c r="C15" s="182"/>
      <c r="D15" s="20">
        <v>2</v>
      </c>
      <c r="E15" s="20">
        <v>10</v>
      </c>
      <c r="F15" s="6" t="s">
        <v>158</v>
      </c>
      <c r="G15" s="66" t="s">
        <v>159</v>
      </c>
      <c r="H15" s="18"/>
      <c r="I15" s="19"/>
      <c r="J15" s="21"/>
    </row>
    <row r="16" spans="1:10" ht="12.75" customHeight="1">
      <c r="A16" s="138" t="s">
        <v>48</v>
      </c>
      <c r="B16" s="139"/>
      <c r="C16" s="139"/>
      <c r="D16" s="139"/>
      <c r="E16" s="139"/>
      <c r="F16" s="139"/>
      <c r="G16" s="139"/>
      <c r="H16" s="139"/>
      <c r="I16" s="139"/>
      <c r="J16" s="152"/>
    </row>
    <row r="17" spans="1:10" ht="12.75" customHeight="1">
      <c r="A17" s="146" t="s">
        <v>21</v>
      </c>
      <c r="B17" s="144"/>
      <c r="C17" s="145"/>
      <c r="D17" s="14">
        <v>1.5</v>
      </c>
      <c r="E17" s="14">
        <v>10</v>
      </c>
      <c r="F17" s="6" t="s">
        <v>158</v>
      </c>
      <c r="G17" s="66" t="s">
        <v>159</v>
      </c>
      <c r="H17" s="10"/>
      <c r="I17" s="11"/>
      <c r="J17" s="10"/>
    </row>
    <row r="18" spans="1:10" ht="12" customHeight="1">
      <c r="A18" s="146" t="s">
        <v>21</v>
      </c>
      <c r="B18" s="144"/>
      <c r="C18" s="145"/>
      <c r="D18" s="14">
        <v>1.8</v>
      </c>
      <c r="E18" s="14">
        <v>10</v>
      </c>
      <c r="F18" s="6" t="s">
        <v>158</v>
      </c>
      <c r="G18" s="66" t="s">
        <v>159</v>
      </c>
      <c r="H18" s="10"/>
      <c r="I18" s="11"/>
      <c r="J18" s="10"/>
    </row>
    <row r="19" spans="1:10" ht="12.75" customHeight="1">
      <c r="A19" s="146" t="s">
        <v>21</v>
      </c>
      <c r="B19" s="144"/>
      <c r="C19" s="145"/>
      <c r="D19" s="14">
        <v>2</v>
      </c>
      <c r="E19" s="14">
        <v>10</v>
      </c>
      <c r="F19" s="6" t="s">
        <v>158</v>
      </c>
      <c r="G19" s="66" t="s">
        <v>159</v>
      </c>
      <c r="H19" s="10"/>
      <c r="I19" s="11"/>
      <c r="J19" s="10"/>
    </row>
    <row r="20" spans="1:10" ht="12.75" customHeight="1">
      <c r="A20" s="138" t="s">
        <v>80</v>
      </c>
      <c r="B20" s="139"/>
      <c r="C20" s="139"/>
      <c r="D20" s="139"/>
      <c r="E20" s="139"/>
      <c r="F20" s="139"/>
      <c r="G20" s="139"/>
      <c r="H20" s="139"/>
      <c r="I20" s="139"/>
      <c r="J20" s="152"/>
    </row>
    <row r="21" spans="1:10" ht="12.75" customHeight="1">
      <c r="A21" s="146" t="s">
        <v>126</v>
      </c>
      <c r="B21" s="144"/>
      <c r="C21" s="145"/>
      <c r="D21" s="14">
        <v>1.5</v>
      </c>
      <c r="E21" s="14">
        <v>30</v>
      </c>
      <c r="F21" s="6" t="s">
        <v>158</v>
      </c>
      <c r="G21" s="66" t="s">
        <v>159</v>
      </c>
      <c r="H21" s="10"/>
      <c r="I21" s="11"/>
      <c r="J21" s="10"/>
    </row>
    <row r="22" spans="1:10" ht="12.75" customHeight="1">
      <c r="A22" s="146" t="s">
        <v>127</v>
      </c>
      <c r="B22" s="144"/>
      <c r="C22" s="145"/>
      <c r="D22" s="14">
        <v>1.5</v>
      </c>
      <c r="E22" s="14">
        <v>20</v>
      </c>
      <c r="F22" s="6" t="s">
        <v>158</v>
      </c>
      <c r="G22" s="66" t="s">
        <v>159</v>
      </c>
      <c r="H22" s="10"/>
      <c r="I22" s="11"/>
      <c r="J22" s="10"/>
    </row>
    <row r="23" spans="1:10" ht="12" customHeight="1">
      <c r="A23" s="146" t="s">
        <v>81</v>
      </c>
      <c r="B23" s="144"/>
      <c r="C23" s="145"/>
      <c r="D23" s="14">
        <v>1.5</v>
      </c>
      <c r="E23" s="14">
        <v>20</v>
      </c>
      <c r="F23" s="6" t="s">
        <v>158</v>
      </c>
      <c r="G23" s="66" t="s">
        <v>159</v>
      </c>
      <c r="H23" s="10"/>
      <c r="I23" s="11"/>
      <c r="J23" s="10"/>
    </row>
    <row r="24" spans="1:10" ht="12" customHeight="1">
      <c r="A24" s="146" t="s">
        <v>81</v>
      </c>
      <c r="B24" s="144"/>
      <c r="C24" s="145"/>
      <c r="D24" s="14">
        <v>1.8</v>
      </c>
      <c r="E24" s="14">
        <v>20</v>
      </c>
      <c r="F24" s="6" t="s">
        <v>158</v>
      </c>
      <c r="G24" s="66" t="s">
        <v>159</v>
      </c>
      <c r="H24" s="10"/>
      <c r="I24" s="11"/>
      <c r="J24" s="10"/>
    </row>
    <row r="25" spans="1:10" ht="11.25" customHeight="1">
      <c r="A25" s="146" t="s">
        <v>81</v>
      </c>
      <c r="B25" s="144"/>
      <c r="C25" s="145"/>
      <c r="D25" s="14">
        <v>2</v>
      </c>
      <c r="E25" s="14">
        <v>20</v>
      </c>
      <c r="F25" s="6" t="s">
        <v>158</v>
      </c>
      <c r="G25" s="66" t="s">
        <v>159</v>
      </c>
      <c r="H25" s="10"/>
      <c r="I25" s="11"/>
      <c r="J25" s="10"/>
    </row>
    <row r="26" spans="1:10" ht="12.75" customHeight="1">
      <c r="A26" s="138" t="s">
        <v>50</v>
      </c>
      <c r="B26" s="139"/>
      <c r="C26" s="139"/>
      <c r="D26" s="139"/>
      <c r="E26" s="139"/>
      <c r="F26" s="139"/>
      <c r="G26" s="139"/>
      <c r="H26" s="139"/>
      <c r="I26" s="139"/>
      <c r="J26" s="152"/>
    </row>
    <row r="27" spans="1:10" ht="12.75" customHeight="1">
      <c r="A27" s="157" t="s">
        <v>128</v>
      </c>
      <c r="B27" s="144"/>
      <c r="C27" s="145"/>
      <c r="D27" s="4">
        <v>1</v>
      </c>
      <c r="E27" s="4">
        <v>50</v>
      </c>
      <c r="F27" s="6" t="s">
        <v>158</v>
      </c>
      <c r="G27" s="66" t="s">
        <v>159</v>
      </c>
      <c r="H27" s="5"/>
      <c r="I27" s="5"/>
      <c r="J27" s="5"/>
    </row>
    <row r="28" spans="1:10" ht="12" customHeight="1">
      <c r="A28" s="157" t="s">
        <v>129</v>
      </c>
      <c r="B28" s="144"/>
      <c r="C28" s="145"/>
      <c r="D28" s="4">
        <v>1</v>
      </c>
      <c r="E28" s="4">
        <v>50</v>
      </c>
      <c r="F28" s="6" t="s">
        <v>158</v>
      </c>
      <c r="G28" s="66" t="s">
        <v>159</v>
      </c>
      <c r="H28" s="5"/>
      <c r="I28" s="5"/>
      <c r="J28" s="5"/>
    </row>
    <row r="29" spans="1:10" ht="11.25" customHeight="1">
      <c r="A29" s="157" t="s">
        <v>130</v>
      </c>
      <c r="B29" s="144"/>
      <c r="C29" s="145"/>
      <c r="D29" s="4">
        <v>1</v>
      </c>
      <c r="E29" s="4">
        <v>60</v>
      </c>
      <c r="F29" s="6" t="s">
        <v>158</v>
      </c>
      <c r="G29" s="66" t="s">
        <v>159</v>
      </c>
      <c r="H29" s="5"/>
      <c r="I29" s="5"/>
      <c r="J29" s="5"/>
    </row>
    <row r="30" spans="1:10" ht="12.75" customHeight="1">
      <c r="A30" s="157" t="s">
        <v>131</v>
      </c>
      <c r="B30" s="144"/>
      <c r="C30" s="145"/>
      <c r="D30" s="4">
        <v>1</v>
      </c>
      <c r="E30" s="4">
        <v>60</v>
      </c>
      <c r="F30" s="6" t="s">
        <v>158</v>
      </c>
      <c r="G30" s="66" t="s">
        <v>159</v>
      </c>
      <c r="H30" s="5"/>
      <c r="I30" s="5"/>
      <c r="J30" s="5"/>
    </row>
    <row r="31" spans="1:10" ht="12" customHeight="1">
      <c r="A31" s="154" t="s">
        <v>3</v>
      </c>
      <c r="B31" s="155"/>
      <c r="C31" s="155"/>
      <c r="D31" s="155"/>
      <c r="E31" s="155"/>
      <c r="F31" s="155"/>
      <c r="G31" s="155"/>
      <c r="H31" s="155"/>
      <c r="I31" s="155"/>
      <c r="J31" s="156"/>
    </row>
    <row r="32" spans="1:10" ht="12.75" customHeight="1">
      <c r="A32" s="146" t="s">
        <v>132</v>
      </c>
      <c r="B32" s="144"/>
      <c r="C32" s="145"/>
      <c r="D32" s="4">
        <v>1</v>
      </c>
      <c r="E32" s="46">
        <v>7</v>
      </c>
      <c r="F32" s="6" t="s">
        <v>158</v>
      </c>
      <c r="G32" s="66" t="s">
        <v>159</v>
      </c>
      <c r="H32" s="5"/>
      <c r="I32" s="5"/>
      <c r="J32" s="5"/>
    </row>
    <row r="33" spans="1:10" ht="12" customHeight="1">
      <c r="A33" s="147" t="s">
        <v>133</v>
      </c>
      <c r="B33" s="147"/>
      <c r="C33" s="147"/>
      <c r="D33" s="4">
        <v>1</v>
      </c>
      <c r="E33" s="46">
        <v>10</v>
      </c>
      <c r="F33" s="6" t="s">
        <v>158</v>
      </c>
      <c r="G33" s="66" t="s">
        <v>159</v>
      </c>
      <c r="H33" s="5"/>
      <c r="I33" s="5"/>
      <c r="J33" s="5"/>
    </row>
    <row r="34" spans="1:10" ht="12" customHeight="1">
      <c r="A34" s="146" t="s">
        <v>105</v>
      </c>
      <c r="B34" s="150"/>
      <c r="C34" s="183"/>
      <c r="D34" s="4">
        <v>1</v>
      </c>
      <c r="E34" s="46">
        <v>13</v>
      </c>
      <c r="F34" s="6" t="s">
        <v>158</v>
      </c>
      <c r="G34" s="66" t="s">
        <v>159</v>
      </c>
      <c r="H34" s="5"/>
      <c r="I34" s="5"/>
      <c r="J34" s="5"/>
    </row>
    <row r="35" spans="1:10" ht="10.5" customHeight="1">
      <c r="A35" s="146" t="s">
        <v>107</v>
      </c>
      <c r="B35" s="150"/>
      <c r="C35" s="183"/>
      <c r="D35" s="4">
        <v>1</v>
      </c>
      <c r="E35" s="46">
        <v>15</v>
      </c>
      <c r="F35" s="6" t="s">
        <v>158</v>
      </c>
      <c r="G35" s="66" t="s">
        <v>159</v>
      </c>
      <c r="H35" s="5"/>
      <c r="I35" s="5"/>
      <c r="J35" s="5"/>
    </row>
    <row r="36" spans="1:10" ht="10.5" customHeight="1">
      <c r="A36" s="146" t="s">
        <v>106</v>
      </c>
      <c r="B36" s="150"/>
      <c r="C36" s="183"/>
      <c r="D36" s="4">
        <v>1</v>
      </c>
      <c r="E36" s="46">
        <v>15</v>
      </c>
      <c r="F36" s="6" t="s">
        <v>158</v>
      </c>
      <c r="G36" s="66" t="s">
        <v>159</v>
      </c>
      <c r="H36" s="5"/>
      <c r="I36" s="5"/>
      <c r="J36" s="5"/>
    </row>
    <row r="37" spans="1:10" ht="12" customHeight="1">
      <c r="A37" s="146" t="s">
        <v>4</v>
      </c>
      <c r="B37" s="150"/>
      <c r="C37" s="183"/>
      <c r="D37" s="4">
        <v>1</v>
      </c>
      <c r="E37" s="46">
        <v>13</v>
      </c>
      <c r="F37" s="6" t="s">
        <v>158</v>
      </c>
      <c r="G37" s="66" t="s">
        <v>159</v>
      </c>
      <c r="H37" s="5"/>
      <c r="I37" s="5"/>
      <c r="J37" s="5"/>
    </row>
    <row r="38" spans="1:10" ht="11.25" customHeight="1">
      <c r="A38" s="146" t="s">
        <v>18</v>
      </c>
      <c r="B38" s="150"/>
      <c r="C38" s="183"/>
      <c r="D38" s="4">
        <v>1</v>
      </c>
      <c r="E38" s="46">
        <v>7</v>
      </c>
      <c r="F38" s="6" t="s">
        <v>158</v>
      </c>
      <c r="G38" s="66" t="s">
        <v>159</v>
      </c>
      <c r="H38" s="5"/>
      <c r="I38" s="5"/>
      <c r="J38" s="5"/>
    </row>
    <row r="39" spans="1:10" ht="12" customHeight="1">
      <c r="A39" s="146" t="s">
        <v>5</v>
      </c>
      <c r="B39" s="150"/>
      <c r="C39" s="183"/>
      <c r="D39" s="4">
        <v>1</v>
      </c>
      <c r="E39" s="46">
        <v>4.8</v>
      </c>
      <c r="F39" s="6" t="s">
        <v>158</v>
      </c>
      <c r="G39" s="66" t="s">
        <v>159</v>
      </c>
      <c r="H39" s="5"/>
      <c r="I39" s="5"/>
      <c r="J39" s="5"/>
    </row>
    <row r="40" spans="1:10" ht="15.75" customHeight="1">
      <c r="A40" s="138" t="s">
        <v>24</v>
      </c>
      <c r="B40" s="203"/>
      <c r="C40" s="203"/>
      <c r="D40" s="203"/>
      <c r="E40" s="203"/>
      <c r="F40" s="203"/>
      <c r="G40" s="203"/>
      <c r="H40" s="203"/>
      <c r="I40" s="203"/>
      <c r="J40" s="204"/>
    </row>
    <row r="41" spans="1:10" ht="15">
      <c r="A41" s="35" t="s">
        <v>11</v>
      </c>
      <c r="B41" s="35"/>
      <c r="C41" s="171" t="s">
        <v>163</v>
      </c>
      <c r="D41" s="172"/>
      <c r="E41" s="166" t="s">
        <v>14</v>
      </c>
      <c r="F41" s="167"/>
      <c r="G41" s="171" t="s">
        <v>162</v>
      </c>
      <c r="H41" s="172"/>
      <c r="I41" s="49" t="s">
        <v>13</v>
      </c>
      <c r="J41" s="36" t="s">
        <v>166</v>
      </c>
    </row>
    <row r="42" spans="1:10" ht="12.75" customHeight="1">
      <c r="A42" s="35" t="s">
        <v>89</v>
      </c>
      <c r="B42" s="35"/>
      <c r="C42" s="171" t="s">
        <v>161</v>
      </c>
      <c r="D42" s="172"/>
      <c r="E42" s="190" t="s">
        <v>12</v>
      </c>
      <c r="F42" s="190"/>
      <c r="G42" s="171" t="s">
        <v>162</v>
      </c>
      <c r="H42" s="172"/>
      <c r="I42" s="50" t="s">
        <v>16</v>
      </c>
      <c r="J42" s="36" t="s">
        <v>166</v>
      </c>
    </row>
    <row r="43" spans="1:10" ht="12.75" customHeight="1">
      <c r="A43" s="191"/>
      <c r="B43" s="192"/>
      <c r="C43" s="171"/>
      <c r="D43" s="172"/>
      <c r="E43" s="166" t="s">
        <v>15</v>
      </c>
      <c r="F43" s="167"/>
      <c r="G43" s="171" t="s">
        <v>162</v>
      </c>
      <c r="H43" s="172"/>
      <c r="I43" s="171"/>
      <c r="J43" s="172"/>
    </row>
    <row r="44" spans="1:10" ht="14.25" customHeight="1">
      <c r="A44" s="202" t="s">
        <v>28</v>
      </c>
      <c r="B44" s="203"/>
      <c r="C44" s="203"/>
      <c r="D44" s="203"/>
      <c r="E44" s="203"/>
      <c r="F44" s="203"/>
      <c r="G44" s="203"/>
      <c r="H44" s="203"/>
      <c r="I44" s="203"/>
      <c r="J44" s="204"/>
    </row>
    <row r="45" spans="1:10" ht="12.75" customHeight="1">
      <c r="A45" s="37"/>
      <c r="B45" s="48"/>
      <c r="C45" s="48"/>
      <c r="D45" s="48"/>
      <c r="E45" s="160" t="s">
        <v>94</v>
      </c>
      <c r="F45" s="161"/>
      <c r="G45" s="160" t="s">
        <v>95</v>
      </c>
      <c r="H45" s="161"/>
      <c r="I45" s="162" t="s">
        <v>93</v>
      </c>
      <c r="J45" s="163"/>
    </row>
    <row r="46" spans="1:10" ht="12.75" customHeight="1">
      <c r="A46" s="195" t="s">
        <v>67</v>
      </c>
      <c r="B46" s="186"/>
      <c r="C46" s="186"/>
      <c r="D46" s="187"/>
      <c r="E46" s="164">
        <v>20</v>
      </c>
      <c r="F46" s="165"/>
      <c r="G46" s="164">
        <v>18.7</v>
      </c>
      <c r="H46" s="165"/>
      <c r="I46" s="164">
        <v>16.5</v>
      </c>
      <c r="J46" s="165"/>
    </row>
    <row r="47" spans="1:10" ht="12" customHeight="1">
      <c r="A47" s="195" t="s">
        <v>66</v>
      </c>
      <c r="B47" s="186"/>
      <c r="C47" s="186"/>
      <c r="D47" s="187"/>
      <c r="E47" s="164">
        <v>26.5</v>
      </c>
      <c r="F47" s="165"/>
      <c r="G47" s="164">
        <v>25</v>
      </c>
      <c r="H47" s="165"/>
      <c r="I47" s="164">
        <v>22</v>
      </c>
      <c r="J47" s="165"/>
    </row>
    <row r="48" spans="1:10" ht="12" customHeight="1">
      <c r="A48" s="195" t="s">
        <v>65</v>
      </c>
      <c r="B48" s="186"/>
      <c r="C48" s="186"/>
      <c r="D48" s="187"/>
      <c r="E48" s="164">
        <v>32.5</v>
      </c>
      <c r="F48" s="196"/>
      <c r="G48" s="164">
        <v>30.5</v>
      </c>
      <c r="H48" s="196"/>
      <c r="I48" s="164">
        <v>28.5</v>
      </c>
      <c r="J48" s="165"/>
    </row>
    <row r="49" spans="1:10" ht="11.25" customHeight="1">
      <c r="A49" s="195" t="s">
        <v>84</v>
      </c>
      <c r="B49" s="186"/>
      <c r="C49" s="186"/>
      <c r="D49" s="187"/>
      <c r="E49" s="164">
        <v>38.5</v>
      </c>
      <c r="F49" s="196"/>
      <c r="G49" s="164">
        <v>35.5</v>
      </c>
      <c r="H49" s="196"/>
      <c r="I49" s="164">
        <v>32.5</v>
      </c>
      <c r="J49" s="165"/>
    </row>
    <row r="50" spans="1:10" ht="14.25" customHeight="1">
      <c r="A50" s="185" t="s">
        <v>90</v>
      </c>
      <c r="B50" s="205"/>
      <c r="C50" s="205"/>
      <c r="D50" s="205"/>
      <c r="E50" s="205"/>
      <c r="F50" s="205"/>
      <c r="G50" s="205"/>
      <c r="H50" s="205"/>
      <c r="I50" s="205"/>
      <c r="J50" s="206"/>
    </row>
    <row r="51" spans="1:10" ht="12.75" customHeight="1">
      <c r="A51" s="210" t="s">
        <v>56</v>
      </c>
      <c r="B51" s="211"/>
      <c r="C51" s="211"/>
      <c r="D51" s="211"/>
      <c r="E51" s="211"/>
      <c r="F51" s="211"/>
      <c r="G51" s="211"/>
      <c r="H51" s="211"/>
      <c r="I51" s="211"/>
      <c r="J51" s="212"/>
    </row>
    <row r="52" spans="1:10" ht="12" customHeight="1">
      <c r="A52" s="195"/>
      <c r="B52" s="200"/>
      <c r="C52" s="200"/>
      <c r="D52" s="200"/>
      <c r="E52" s="200"/>
      <c r="F52" s="201"/>
      <c r="G52" s="209" t="s">
        <v>83</v>
      </c>
      <c r="H52" s="209"/>
      <c r="I52" s="209" t="s">
        <v>85</v>
      </c>
      <c r="J52" s="209"/>
    </row>
    <row r="53" spans="1:10" ht="12.75" customHeight="1">
      <c r="A53" s="195" t="s">
        <v>57</v>
      </c>
      <c r="B53" s="186"/>
      <c r="C53" s="186"/>
      <c r="D53" s="186"/>
      <c r="E53" s="186"/>
      <c r="F53" s="187"/>
      <c r="G53" s="193">
        <v>32.8</v>
      </c>
      <c r="H53" s="194"/>
      <c r="I53" s="158" t="s">
        <v>157</v>
      </c>
      <c r="J53" s="159"/>
    </row>
    <row r="54" spans="1:10" ht="12.75" customHeight="1">
      <c r="A54" s="195" t="s">
        <v>113</v>
      </c>
      <c r="B54" s="186"/>
      <c r="C54" s="186"/>
      <c r="D54" s="186"/>
      <c r="E54" s="186"/>
      <c r="F54" s="187"/>
      <c r="G54" s="193">
        <v>32.8</v>
      </c>
      <c r="H54" s="194"/>
      <c r="I54" s="158" t="s">
        <v>157</v>
      </c>
      <c r="J54" s="159"/>
    </row>
    <row r="55" spans="1:10" ht="12.75" customHeight="1">
      <c r="A55" s="195" t="s">
        <v>110</v>
      </c>
      <c r="B55" s="186"/>
      <c r="C55" s="186"/>
      <c r="D55" s="186"/>
      <c r="E55" s="186"/>
      <c r="F55" s="187"/>
      <c r="G55" s="193">
        <v>49.5</v>
      </c>
      <c r="H55" s="194"/>
      <c r="I55" s="158" t="s">
        <v>157</v>
      </c>
      <c r="J55" s="159"/>
    </row>
    <row r="56" spans="1:10" ht="12.75" customHeight="1">
      <c r="A56" s="195" t="s">
        <v>111</v>
      </c>
      <c r="B56" s="186"/>
      <c r="C56" s="186"/>
      <c r="D56" s="186"/>
      <c r="E56" s="186"/>
      <c r="F56" s="187"/>
      <c r="G56" s="193">
        <v>48.8</v>
      </c>
      <c r="H56" s="194"/>
      <c r="I56" s="158" t="s">
        <v>157</v>
      </c>
      <c r="J56" s="159"/>
    </row>
    <row r="57" spans="1:10" ht="12.75" customHeight="1">
      <c r="A57" s="195" t="s">
        <v>112</v>
      </c>
      <c r="B57" s="186"/>
      <c r="C57" s="186"/>
      <c r="D57" s="186"/>
      <c r="E57" s="186"/>
      <c r="F57" s="187"/>
      <c r="G57" s="193">
        <v>69</v>
      </c>
      <c r="H57" s="194"/>
      <c r="I57" s="158" t="s">
        <v>157</v>
      </c>
      <c r="J57" s="159"/>
    </row>
    <row r="58" spans="1:10" ht="12.75" customHeight="1">
      <c r="A58" s="191" t="s">
        <v>58</v>
      </c>
      <c r="B58" s="144"/>
      <c r="C58" s="144"/>
      <c r="D58" s="144"/>
      <c r="E58" s="144"/>
      <c r="F58" s="145"/>
      <c r="G58" s="193">
        <v>18.5</v>
      </c>
      <c r="H58" s="194"/>
      <c r="I58" s="158" t="s">
        <v>157</v>
      </c>
      <c r="J58" s="159"/>
    </row>
    <row r="59" spans="1:10" ht="14.25" customHeight="1">
      <c r="A59" s="185" t="s">
        <v>26</v>
      </c>
      <c r="B59" s="186"/>
      <c r="C59" s="186"/>
      <c r="D59" s="186"/>
      <c r="E59" s="186"/>
      <c r="F59" s="187"/>
      <c r="G59" s="193" t="s">
        <v>164</v>
      </c>
      <c r="H59" s="194"/>
      <c r="I59" s="193" t="s">
        <v>165</v>
      </c>
      <c r="J59" s="194"/>
    </row>
    <row r="60" spans="1:11" ht="12.75" customHeight="1">
      <c r="A60" s="138" t="s">
        <v>77</v>
      </c>
      <c r="B60" s="207"/>
      <c r="C60" s="207"/>
      <c r="D60" s="207"/>
      <c r="E60" s="207"/>
      <c r="F60" s="207"/>
      <c r="G60" s="207"/>
      <c r="H60" s="207"/>
      <c r="I60" s="207"/>
      <c r="J60" s="208"/>
      <c r="K60" s="54"/>
    </row>
    <row r="61" spans="1:11" ht="12" customHeight="1">
      <c r="A61" s="188" t="s">
        <v>73</v>
      </c>
      <c r="B61" s="189"/>
      <c r="C61" s="183"/>
      <c r="D61" s="46">
        <v>2</v>
      </c>
      <c r="E61" s="46">
        <v>6</v>
      </c>
      <c r="F61" s="12">
        <v>840.4</v>
      </c>
      <c r="G61" s="5">
        <f>F61*J61</f>
        <v>10084.8</v>
      </c>
      <c r="H61" s="53">
        <f>F61+F61/100*1.2018</f>
        <v>850.4999272</v>
      </c>
      <c r="I61" s="5">
        <f>H61*J61</f>
        <v>10205.9991264</v>
      </c>
      <c r="J61" s="12">
        <f>D61*E61</f>
        <v>12</v>
      </c>
      <c r="K61" s="52"/>
    </row>
    <row r="62" spans="1:11" ht="12.75" customHeight="1">
      <c r="A62" s="188" t="s">
        <v>74</v>
      </c>
      <c r="B62" s="189"/>
      <c r="C62" s="183"/>
      <c r="D62" s="46">
        <v>2</v>
      </c>
      <c r="E62" s="46">
        <v>6</v>
      </c>
      <c r="F62" s="12">
        <v>610</v>
      </c>
      <c r="G62" s="5">
        <f>F62*J62</f>
        <v>7320</v>
      </c>
      <c r="H62" s="47">
        <f>F62+F62/100*1.6394</f>
        <v>620.00034</v>
      </c>
      <c r="I62" s="5">
        <f>H62*J62</f>
        <v>7440.004080000001</v>
      </c>
      <c r="J62" s="12">
        <f>D62*E62</f>
        <v>12</v>
      </c>
      <c r="K62" s="52"/>
    </row>
    <row r="63" spans="1:11" ht="12.75" customHeight="1">
      <c r="A63" s="188" t="s">
        <v>114</v>
      </c>
      <c r="B63" s="189"/>
      <c r="C63" s="183"/>
      <c r="D63" s="46">
        <v>2</v>
      </c>
      <c r="E63" s="46">
        <v>6</v>
      </c>
      <c r="F63" s="12">
        <v>512.8</v>
      </c>
      <c r="G63" s="5">
        <f>F63*J63</f>
        <v>6153.599999999999</v>
      </c>
      <c r="H63" s="47">
        <f>F63+F63/100*1.521</f>
        <v>520.5996879999999</v>
      </c>
      <c r="I63" s="5">
        <f>H63*J63</f>
        <v>6247.196255999999</v>
      </c>
      <c r="J63" s="12">
        <f>D63*E63</f>
        <v>12</v>
      </c>
      <c r="K63" s="52"/>
    </row>
    <row r="64" spans="1:11" ht="12" customHeight="1">
      <c r="A64" s="197" t="s">
        <v>75</v>
      </c>
      <c r="B64" s="198"/>
      <c r="C64" s="199"/>
      <c r="D64" s="46">
        <v>2</v>
      </c>
      <c r="E64" s="46">
        <v>6</v>
      </c>
      <c r="F64" s="51">
        <v>223.1</v>
      </c>
      <c r="G64" s="5">
        <f>F64*J64</f>
        <v>2677.2</v>
      </c>
      <c r="H64" s="53">
        <f>F64+F64/100*1.6586</f>
        <v>226.80033659999998</v>
      </c>
      <c r="I64" s="5">
        <f>H64*J64</f>
        <v>2721.6040391999995</v>
      </c>
      <c r="J64" s="12">
        <f>D64*E64</f>
        <v>12</v>
      </c>
      <c r="K64" s="52"/>
    </row>
    <row r="65" spans="1:11" ht="12" customHeight="1">
      <c r="A65" s="188" t="s">
        <v>76</v>
      </c>
      <c r="B65" s="189"/>
      <c r="C65" s="183"/>
      <c r="D65" s="46">
        <v>2</v>
      </c>
      <c r="E65" s="46">
        <v>6</v>
      </c>
      <c r="F65" s="12">
        <v>186</v>
      </c>
      <c r="G65" s="5">
        <f>F65*J65</f>
        <v>2232</v>
      </c>
      <c r="H65" s="47">
        <f>F65+F65/100*1.559</f>
        <v>188.89974</v>
      </c>
      <c r="I65" s="5">
        <f>H65*J65</f>
        <v>2266.79688</v>
      </c>
      <c r="J65" s="12">
        <f>D65*E65</f>
        <v>12</v>
      </c>
      <c r="K65" s="52"/>
    </row>
    <row r="66" spans="1:12" ht="15.75">
      <c r="A66" s="24" t="s">
        <v>43</v>
      </c>
      <c r="B66" s="28"/>
      <c r="C66" s="28"/>
      <c r="D66" s="28"/>
      <c r="E66" s="28"/>
      <c r="F66" s="28"/>
      <c r="G66" s="28"/>
      <c r="H66" s="28"/>
      <c r="I66" s="28"/>
      <c r="L66" s="29"/>
    </row>
    <row r="67" spans="1:12" ht="12.75">
      <c r="A67" s="29"/>
      <c r="J67" s="29"/>
      <c r="K67" s="29"/>
      <c r="L67" s="29"/>
    </row>
    <row r="68" spans="1:1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0:12" ht="12.75">
      <c r="J70" s="29"/>
      <c r="L70" s="29"/>
    </row>
    <row r="71" spans="10:12" ht="12.75">
      <c r="J71" s="29"/>
      <c r="L71" s="29"/>
    </row>
    <row r="72" spans="10:12" ht="12.75">
      <c r="J72" s="29"/>
      <c r="L72" s="29"/>
    </row>
    <row r="73" spans="10:12" ht="12.75">
      <c r="J73" s="29"/>
      <c r="L73" s="29"/>
    </row>
    <row r="74" spans="10:12" ht="12.75">
      <c r="J74" s="29"/>
      <c r="L74" s="29"/>
    </row>
    <row r="75" spans="10:12" ht="12.75">
      <c r="J75" s="29"/>
      <c r="L75" s="29"/>
    </row>
    <row r="76" spans="10:12" ht="12.75">
      <c r="J76" s="29"/>
      <c r="L76" s="29"/>
    </row>
    <row r="77" spans="10:12" ht="12.75">
      <c r="J77" s="29"/>
      <c r="L77" s="29"/>
    </row>
    <row r="78" spans="10:12" ht="12.75">
      <c r="J78" s="29"/>
      <c r="L78" s="29"/>
    </row>
    <row r="79" spans="10:12" ht="12.75">
      <c r="J79" s="29"/>
      <c r="L79" s="29"/>
    </row>
    <row r="80" spans="10:12" ht="12.75">
      <c r="J80" s="29"/>
      <c r="L80" s="29"/>
    </row>
    <row r="81" spans="10:12" ht="12.75">
      <c r="J81" s="29"/>
      <c r="L81" s="29"/>
    </row>
    <row r="82" spans="10:12" ht="12.75">
      <c r="J82" s="29"/>
      <c r="L82" s="29"/>
    </row>
    <row r="83" spans="10:12" ht="12.75">
      <c r="J83" s="29"/>
      <c r="L83" s="29"/>
    </row>
    <row r="84" spans="10:12" ht="12.75">
      <c r="J84" s="29"/>
      <c r="L84" s="29"/>
    </row>
    <row r="85" spans="10:12" ht="12.75">
      <c r="J85" s="29"/>
      <c r="L85" s="29"/>
    </row>
    <row r="86" spans="10:12" ht="12.75">
      <c r="J86" s="29"/>
      <c r="L86" s="29"/>
    </row>
    <row r="87" spans="10:12" ht="12.75">
      <c r="J87" s="29"/>
      <c r="L87" s="29"/>
    </row>
    <row r="88" spans="10:12" ht="12.75">
      <c r="J88" s="29"/>
      <c r="L88" s="29"/>
    </row>
    <row r="89" spans="10:12" ht="12.75">
      <c r="J89" s="29"/>
      <c r="L89" s="29"/>
    </row>
    <row r="90" spans="10:12" ht="12.75">
      <c r="J90" s="29"/>
      <c r="L90" s="29"/>
    </row>
    <row r="91" spans="10:12" ht="12.75">
      <c r="J91" s="29"/>
      <c r="L91" s="29"/>
    </row>
    <row r="92" spans="10:12" ht="12.75">
      <c r="J92" s="29"/>
      <c r="L92" s="29"/>
    </row>
    <row r="93" spans="10:12" ht="12.75">
      <c r="J93" s="29"/>
      <c r="L93" s="29"/>
    </row>
    <row r="94" spans="10:12" ht="12.75">
      <c r="J94" s="29"/>
      <c r="L94" s="29"/>
    </row>
    <row r="95" spans="10:12" ht="12.75">
      <c r="J95" s="29"/>
      <c r="L95" s="29"/>
    </row>
    <row r="96" spans="10:12" ht="12.75">
      <c r="J96" s="29"/>
      <c r="L96" s="29"/>
    </row>
    <row r="97" spans="10:12" ht="12.75">
      <c r="J97" s="29"/>
      <c r="L97" s="29"/>
    </row>
    <row r="98" spans="10:12" ht="12.75">
      <c r="J98" s="29"/>
      <c r="L98" s="29"/>
    </row>
    <row r="99" spans="10:12" ht="12.75">
      <c r="J99" s="29"/>
      <c r="L99" s="29"/>
    </row>
    <row r="100" spans="10:12" ht="12.75">
      <c r="J100" s="29"/>
      <c r="L100" s="29"/>
    </row>
    <row r="101" spans="10:12" ht="12.75">
      <c r="J101" s="29"/>
      <c r="L101" s="29"/>
    </row>
    <row r="102" spans="10:12" ht="12.75">
      <c r="J102" s="29"/>
      <c r="L102" s="29"/>
    </row>
    <row r="103" spans="10:12" ht="12.75">
      <c r="J103" s="29"/>
      <c r="L103" s="29"/>
    </row>
    <row r="104" spans="10:12" ht="12.75">
      <c r="J104" s="29"/>
      <c r="L104" s="29"/>
    </row>
    <row r="105" spans="10:12" ht="12.75">
      <c r="J105" s="29"/>
      <c r="L105" s="29"/>
    </row>
    <row r="106" spans="10:12" ht="12.75">
      <c r="J106" s="29"/>
      <c r="L106" s="29"/>
    </row>
    <row r="107" spans="10:12" ht="12.75">
      <c r="J107" s="29"/>
      <c r="L107" s="29"/>
    </row>
    <row r="108" spans="10:12" ht="12.75">
      <c r="J108" s="29"/>
      <c r="L108" s="29"/>
    </row>
    <row r="109" spans="10:12" ht="12.75">
      <c r="J109" s="29"/>
      <c r="L109" s="29"/>
    </row>
    <row r="110" spans="10:12" ht="12.75">
      <c r="J110" s="29"/>
      <c r="L110" s="29"/>
    </row>
    <row r="111" spans="10:12" ht="12.75">
      <c r="J111" s="29"/>
      <c r="L111" s="29"/>
    </row>
    <row r="112" spans="10:12" ht="12.75">
      <c r="J112" s="29"/>
      <c r="L112" s="29"/>
    </row>
    <row r="113" spans="10:12" ht="12.75">
      <c r="J113" s="29"/>
      <c r="L113" s="29"/>
    </row>
    <row r="114" spans="10:12" ht="12.75">
      <c r="J114" s="29"/>
      <c r="L114" s="29"/>
    </row>
    <row r="115" spans="10:12" ht="12.75">
      <c r="J115" s="29"/>
      <c r="L115" s="29"/>
    </row>
    <row r="116" spans="10:12" ht="12.75">
      <c r="J116" s="29"/>
      <c r="L116" s="29"/>
    </row>
    <row r="117" spans="10:12" ht="12.75">
      <c r="J117" s="29"/>
      <c r="L117" s="29"/>
    </row>
    <row r="118" spans="10:12" ht="12.75">
      <c r="J118" s="29"/>
      <c r="L118" s="29"/>
    </row>
    <row r="119" spans="10:12" ht="12.75">
      <c r="J119" s="29"/>
      <c r="L119" s="29"/>
    </row>
    <row r="120" spans="10:12" ht="12.75">
      <c r="J120" s="29"/>
      <c r="L120" s="29"/>
    </row>
    <row r="121" spans="10:12" ht="12.75">
      <c r="J121" s="29"/>
      <c r="L121" s="29"/>
    </row>
    <row r="122" spans="10:12" ht="12.75">
      <c r="J122" s="29"/>
      <c r="L122" s="29"/>
    </row>
    <row r="123" spans="10:12" ht="12.75">
      <c r="J123" s="29"/>
      <c r="L123" s="29"/>
    </row>
    <row r="124" spans="10:12" ht="12.75">
      <c r="J124" s="29"/>
      <c r="L124" s="29"/>
    </row>
    <row r="125" spans="10:12" ht="12.75">
      <c r="J125" s="29"/>
      <c r="L125" s="29"/>
    </row>
    <row r="126" spans="10:12" ht="12.75">
      <c r="J126" s="29"/>
      <c r="L126" s="29"/>
    </row>
    <row r="127" spans="10:12" ht="12.75">
      <c r="J127" s="29"/>
      <c r="L127" s="29"/>
    </row>
    <row r="128" spans="10:12" ht="12.75">
      <c r="J128" s="29"/>
      <c r="L128" s="29"/>
    </row>
    <row r="129" spans="10:12" ht="12.75">
      <c r="J129" s="29"/>
      <c r="L129" s="29"/>
    </row>
    <row r="130" spans="10:12" ht="12.75">
      <c r="J130" s="29"/>
      <c r="L130" s="29"/>
    </row>
    <row r="131" spans="10:12" ht="12.75">
      <c r="J131" s="29"/>
      <c r="L131" s="29"/>
    </row>
    <row r="132" spans="10:12" ht="12.75">
      <c r="J132" s="29"/>
      <c r="L132" s="29"/>
    </row>
    <row r="133" spans="10:12" ht="12.75">
      <c r="J133" s="29"/>
      <c r="L133" s="29"/>
    </row>
    <row r="134" spans="10:12" ht="12.75">
      <c r="J134" s="29"/>
      <c r="L134" s="29"/>
    </row>
    <row r="135" spans="10:12" ht="12.75">
      <c r="J135" s="29"/>
      <c r="L135" s="29"/>
    </row>
    <row r="136" spans="10:12" ht="12.75">
      <c r="J136" s="29"/>
      <c r="L136" s="29"/>
    </row>
    <row r="137" spans="10:12" ht="12.75">
      <c r="J137" s="29"/>
      <c r="L137" s="29"/>
    </row>
    <row r="138" spans="10:12" ht="12.75">
      <c r="J138" s="29"/>
      <c r="L138" s="29"/>
    </row>
    <row r="139" spans="10:12" ht="12.75">
      <c r="J139" s="29"/>
      <c r="L139" s="29"/>
    </row>
    <row r="140" spans="10:12" ht="12.75">
      <c r="J140" s="29"/>
      <c r="L140" s="29"/>
    </row>
    <row r="141" spans="10:12" ht="12.75">
      <c r="J141" s="29"/>
      <c r="L141" s="29"/>
    </row>
    <row r="142" spans="10:12" ht="12.75">
      <c r="J142" s="29"/>
      <c r="L142" s="29"/>
    </row>
    <row r="143" spans="10:12" ht="12.75">
      <c r="J143" s="29"/>
      <c r="L143" s="29"/>
    </row>
    <row r="144" spans="10:12" ht="12.75">
      <c r="J144" s="29"/>
      <c r="L144" s="29"/>
    </row>
    <row r="145" spans="10:12" ht="12.75">
      <c r="J145" s="29"/>
      <c r="L145" s="29"/>
    </row>
    <row r="146" spans="10:12" ht="12.75">
      <c r="J146" s="29"/>
      <c r="L146" s="29"/>
    </row>
    <row r="147" spans="10:12" ht="12.75">
      <c r="J147" s="29"/>
      <c r="L147" s="29"/>
    </row>
    <row r="148" spans="10:12" ht="12.75">
      <c r="J148" s="29"/>
      <c r="L148" s="29"/>
    </row>
    <row r="149" ht="12.75">
      <c r="L149" s="29"/>
    </row>
    <row r="150" ht="12.75">
      <c r="L150" s="29"/>
    </row>
    <row r="151" ht="12.75">
      <c r="L151" s="29"/>
    </row>
    <row r="152" ht="12.75">
      <c r="L152" s="29"/>
    </row>
    <row r="153" ht="12.75">
      <c r="L153" s="29"/>
    </row>
    <row r="154" ht="12.75">
      <c r="L154" s="29"/>
    </row>
    <row r="155" ht="12.75">
      <c r="L155" s="29"/>
    </row>
    <row r="156" ht="12.75">
      <c r="L156" s="29"/>
    </row>
    <row r="157" ht="12.75">
      <c r="L157" s="29"/>
    </row>
    <row r="158" ht="12.75">
      <c r="L158" s="29"/>
    </row>
    <row r="159" ht="12.75">
      <c r="L159" s="29"/>
    </row>
    <row r="160" ht="12.75">
      <c r="L160" s="29"/>
    </row>
    <row r="161" ht="12.75">
      <c r="L161" s="29"/>
    </row>
    <row r="162" ht="12.75">
      <c r="L162" s="29"/>
    </row>
    <row r="163" ht="12.75">
      <c r="L163" s="29"/>
    </row>
    <row r="164" ht="12.75">
      <c r="L164" s="29"/>
    </row>
    <row r="165" ht="12.75">
      <c r="L165" s="29"/>
    </row>
    <row r="166" ht="12.75">
      <c r="L166" s="29"/>
    </row>
    <row r="167" ht="12.75">
      <c r="L167" s="29"/>
    </row>
    <row r="168" ht="12.75">
      <c r="L168" s="29"/>
    </row>
    <row r="169" ht="12.75">
      <c r="L169" s="29"/>
    </row>
    <row r="170" ht="12.75">
      <c r="L170" s="29"/>
    </row>
    <row r="171" ht="12.75">
      <c r="L171" s="29"/>
    </row>
    <row r="172" ht="12.75">
      <c r="L172" s="29"/>
    </row>
    <row r="173" ht="12.75">
      <c r="L173" s="29"/>
    </row>
    <row r="174" ht="12.75">
      <c r="L174" s="29"/>
    </row>
    <row r="175" ht="12.75">
      <c r="L175" s="29"/>
    </row>
    <row r="176" ht="12.75">
      <c r="L176" s="29"/>
    </row>
    <row r="177" ht="12.75">
      <c r="L177" s="29"/>
    </row>
    <row r="178" ht="12.75">
      <c r="L178" s="29"/>
    </row>
    <row r="179" ht="12.75">
      <c r="L179" s="29"/>
    </row>
    <row r="180" ht="12.75">
      <c r="L180" s="29"/>
    </row>
    <row r="181" ht="12.75">
      <c r="L181" s="29"/>
    </row>
    <row r="182" ht="12.75">
      <c r="L182" s="29"/>
    </row>
    <row r="183" ht="12.75">
      <c r="L183" s="29"/>
    </row>
    <row r="184" ht="12.75">
      <c r="L184" s="29"/>
    </row>
    <row r="185" ht="12.75">
      <c r="L185" s="29"/>
    </row>
    <row r="186" ht="12.75">
      <c r="L186" s="29"/>
    </row>
    <row r="187" ht="12.75">
      <c r="L187" s="29"/>
    </row>
    <row r="188" ht="12.75">
      <c r="L188" s="29"/>
    </row>
    <row r="189" ht="12.75">
      <c r="L189" s="29"/>
    </row>
    <row r="190" ht="12.75">
      <c r="L190" s="29"/>
    </row>
    <row r="191" ht="12.75">
      <c r="L191" s="29"/>
    </row>
    <row r="192" ht="12.75">
      <c r="L192" s="29"/>
    </row>
    <row r="193" ht="12.75">
      <c r="L193" s="29"/>
    </row>
    <row r="194" ht="12.75">
      <c r="L194" s="29"/>
    </row>
    <row r="195" ht="12.75">
      <c r="L195" s="29"/>
    </row>
    <row r="196" ht="12.75">
      <c r="L196" s="29"/>
    </row>
    <row r="197" ht="12.75">
      <c r="L197" s="29"/>
    </row>
    <row r="198" ht="12.75">
      <c r="L198" s="29"/>
    </row>
    <row r="199" ht="12.75">
      <c r="L199" s="29"/>
    </row>
    <row r="200" ht="12.75">
      <c r="L200" s="29"/>
    </row>
    <row r="201" ht="12.75">
      <c r="L201" s="29"/>
    </row>
    <row r="202" ht="12.75">
      <c r="L202" s="29"/>
    </row>
    <row r="203" ht="12.75">
      <c r="L203" s="29"/>
    </row>
    <row r="204" ht="12.75">
      <c r="L204" s="29"/>
    </row>
    <row r="205" ht="12.75">
      <c r="L205" s="29"/>
    </row>
    <row r="206" ht="12.75">
      <c r="L206" s="29"/>
    </row>
    <row r="207" ht="12.75">
      <c r="L207" s="29"/>
    </row>
    <row r="208" ht="12.75">
      <c r="L208" s="29"/>
    </row>
    <row r="209" ht="12.75">
      <c r="L209" s="29"/>
    </row>
    <row r="210" ht="12.75">
      <c r="L210" s="29"/>
    </row>
    <row r="211" ht="12.75">
      <c r="L211" s="29"/>
    </row>
    <row r="212" ht="12.75">
      <c r="L212" s="29"/>
    </row>
    <row r="213" ht="12.75">
      <c r="L213" s="29"/>
    </row>
    <row r="214" ht="12.75">
      <c r="L214" s="29"/>
    </row>
    <row r="215" ht="12.75">
      <c r="L215" s="29"/>
    </row>
    <row r="216" ht="12.75">
      <c r="L216" s="29"/>
    </row>
    <row r="217" ht="12.75">
      <c r="L217" s="29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ht="12.75">
      <c r="L225" s="29"/>
    </row>
    <row r="226" ht="12.75">
      <c r="L226" s="29"/>
    </row>
    <row r="227" ht="12.75">
      <c r="L227" s="29"/>
    </row>
    <row r="228" ht="12.75">
      <c r="L228" s="29"/>
    </row>
    <row r="229" ht="12.75">
      <c r="L229" s="29"/>
    </row>
    <row r="230" ht="12.75">
      <c r="L230" s="29"/>
    </row>
    <row r="231" ht="12.75">
      <c r="L231" s="29"/>
    </row>
    <row r="232" ht="12.75">
      <c r="L232" s="29"/>
    </row>
    <row r="233" ht="12.75">
      <c r="L233" s="29"/>
    </row>
    <row r="234" ht="12.75">
      <c r="L234" s="29"/>
    </row>
    <row r="235" ht="12.75">
      <c r="L235" s="29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  <row r="278" ht="12.75">
      <c r="L278" s="29"/>
    </row>
    <row r="279" ht="12.75">
      <c r="L279" s="29"/>
    </row>
    <row r="280" ht="12.75">
      <c r="L280" s="29"/>
    </row>
    <row r="281" ht="12.75">
      <c r="L281" s="29"/>
    </row>
    <row r="282" ht="12.75">
      <c r="L282" s="29"/>
    </row>
    <row r="283" ht="12.75">
      <c r="L283" s="29"/>
    </row>
    <row r="284" ht="12.75">
      <c r="L284" s="29"/>
    </row>
    <row r="285" ht="12.75">
      <c r="L285" s="29"/>
    </row>
    <row r="286" ht="12.75">
      <c r="L286" s="29"/>
    </row>
    <row r="287" ht="12.75">
      <c r="L287" s="29"/>
    </row>
    <row r="288" ht="12.75">
      <c r="L288" s="29"/>
    </row>
    <row r="289" ht="12.75">
      <c r="L289" s="29"/>
    </row>
    <row r="290" ht="12.75">
      <c r="L290" s="29"/>
    </row>
    <row r="291" ht="12.75">
      <c r="L291" s="29"/>
    </row>
    <row r="292" ht="12.75">
      <c r="L292" s="29"/>
    </row>
    <row r="293" ht="12.75">
      <c r="L293" s="29"/>
    </row>
    <row r="294" ht="12.75">
      <c r="L294" s="29"/>
    </row>
    <row r="295" ht="12.75">
      <c r="L295" s="29"/>
    </row>
    <row r="296" ht="12.75">
      <c r="L296" s="29"/>
    </row>
    <row r="297" ht="12.75">
      <c r="L297" s="29"/>
    </row>
    <row r="298" ht="12.75">
      <c r="L298" s="29"/>
    </row>
    <row r="299" ht="12.75">
      <c r="L299" s="29"/>
    </row>
    <row r="300" ht="12.75">
      <c r="L300" s="29"/>
    </row>
    <row r="301" ht="12.75">
      <c r="L301" s="29"/>
    </row>
    <row r="302" ht="12.75">
      <c r="L302" s="29"/>
    </row>
    <row r="303" ht="12.75">
      <c r="L303" s="29"/>
    </row>
    <row r="304" ht="12.75">
      <c r="L304" s="29"/>
    </row>
    <row r="305" ht="12.75">
      <c r="L305" s="29"/>
    </row>
    <row r="306" ht="12.75">
      <c r="L306" s="29"/>
    </row>
    <row r="307" ht="12.75">
      <c r="L307" s="29"/>
    </row>
    <row r="308" ht="12.75">
      <c r="L308" s="29"/>
    </row>
    <row r="309" ht="12.75">
      <c r="L309" s="29"/>
    </row>
    <row r="310" ht="12.75">
      <c r="L310" s="29"/>
    </row>
    <row r="311" ht="12.75">
      <c r="L311" s="29"/>
    </row>
    <row r="312" ht="12.75">
      <c r="L312" s="29"/>
    </row>
    <row r="313" ht="12.75">
      <c r="L313" s="29"/>
    </row>
    <row r="314" ht="12.75">
      <c r="L314" s="29"/>
    </row>
    <row r="315" ht="12.75">
      <c r="L315" s="29"/>
    </row>
    <row r="316" ht="12.75">
      <c r="L316" s="29"/>
    </row>
    <row r="317" ht="12.75">
      <c r="L317" s="29"/>
    </row>
    <row r="318" ht="12.75">
      <c r="L318" s="29"/>
    </row>
    <row r="319" ht="12.75">
      <c r="L319" s="29"/>
    </row>
    <row r="320" ht="12.75">
      <c r="L320" s="29"/>
    </row>
    <row r="321" ht="12.75">
      <c r="L321" s="29"/>
    </row>
    <row r="322" ht="12.75">
      <c r="L322" s="29"/>
    </row>
    <row r="323" ht="12.75">
      <c r="L323" s="29"/>
    </row>
    <row r="324" ht="12.75">
      <c r="L324" s="29"/>
    </row>
    <row r="325" ht="12.75">
      <c r="L325" s="29"/>
    </row>
    <row r="326" ht="12.75">
      <c r="L326" s="29"/>
    </row>
    <row r="327" ht="12.75">
      <c r="L327" s="29"/>
    </row>
    <row r="328" ht="12.75">
      <c r="L328" s="29"/>
    </row>
    <row r="329" ht="12.75">
      <c r="L329" s="29"/>
    </row>
    <row r="330" ht="12.75">
      <c r="L330" s="29"/>
    </row>
    <row r="331" ht="12.75">
      <c r="L331" s="29"/>
    </row>
    <row r="332" ht="12.75">
      <c r="L332" s="29"/>
    </row>
    <row r="333" ht="12.75">
      <c r="L333" s="29"/>
    </row>
    <row r="334" ht="12.75">
      <c r="L334" s="29"/>
    </row>
    <row r="335" ht="12.75">
      <c r="L335" s="29"/>
    </row>
    <row r="336" ht="12.75">
      <c r="L336" s="29"/>
    </row>
    <row r="337" ht="12.75">
      <c r="L337" s="29"/>
    </row>
    <row r="338" ht="12.75">
      <c r="L338" s="29"/>
    </row>
    <row r="339" ht="12.75">
      <c r="L339" s="29"/>
    </row>
    <row r="340" ht="12.75">
      <c r="L340" s="29"/>
    </row>
    <row r="341" ht="12.75">
      <c r="L341" s="29"/>
    </row>
    <row r="342" ht="12.75">
      <c r="L342" s="29"/>
    </row>
    <row r="343" ht="12.75">
      <c r="L343" s="29"/>
    </row>
    <row r="344" ht="12.75">
      <c r="L344" s="29"/>
    </row>
    <row r="345" ht="12.75">
      <c r="L345" s="29"/>
    </row>
    <row r="346" ht="12.75">
      <c r="L346" s="29"/>
    </row>
    <row r="347" ht="12.75">
      <c r="L347" s="29"/>
    </row>
    <row r="348" ht="12.75">
      <c r="L348" s="29"/>
    </row>
    <row r="349" ht="12.75">
      <c r="L349" s="29"/>
    </row>
    <row r="350" ht="12.75">
      <c r="L350" s="29"/>
    </row>
    <row r="351" ht="12.75">
      <c r="L351" s="29"/>
    </row>
    <row r="352" ht="12.75">
      <c r="L352" s="29"/>
    </row>
    <row r="353" ht="12.75">
      <c r="L353" s="29"/>
    </row>
    <row r="354" ht="12.75">
      <c r="L354" s="29"/>
    </row>
    <row r="355" ht="12.75">
      <c r="L355" s="29"/>
    </row>
    <row r="356" ht="12.75">
      <c r="L356" s="29"/>
    </row>
    <row r="357" ht="12.75">
      <c r="L357" s="29"/>
    </row>
    <row r="358" ht="12.75">
      <c r="L358" s="29"/>
    </row>
    <row r="359" ht="12.75">
      <c r="L359" s="29"/>
    </row>
    <row r="360" ht="12.75">
      <c r="L360" s="29"/>
    </row>
    <row r="361" ht="12.75">
      <c r="L361" s="29"/>
    </row>
    <row r="362" ht="12.75">
      <c r="L362" s="29"/>
    </row>
    <row r="363" ht="12.75">
      <c r="L363" s="29"/>
    </row>
    <row r="364" ht="12.75">
      <c r="L364" s="29"/>
    </row>
    <row r="365" ht="12.75">
      <c r="L365" s="29"/>
    </row>
    <row r="366" ht="12.75">
      <c r="L366" s="29"/>
    </row>
    <row r="367" ht="12.75">
      <c r="L367" s="29"/>
    </row>
    <row r="368" ht="12.75">
      <c r="L368" s="29"/>
    </row>
    <row r="369" ht="12.75">
      <c r="L369" s="29"/>
    </row>
    <row r="370" ht="12.75">
      <c r="L370" s="29"/>
    </row>
    <row r="371" ht="12.75">
      <c r="L371" s="29"/>
    </row>
    <row r="372" ht="12.75">
      <c r="L372" s="29"/>
    </row>
    <row r="373" ht="12.75">
      <c r="L373" s="29"/>
    </row>
    <row r="374" ht="12.75">
      <c r="L374" s="29"/>
    </row>
    <row r="375" ht="12.75">
      <c r="L375" s="29"/>
    </row>
    <row r="376" ht="12.75">
      <c r="L376" s="29"/>
    </row>
    <row r="377" ht="12.75">
      <c r="L377" s="29"/>
    </row>
    <row r="378" ht="12.75">
      <c r="L378" s="29"/>
    </row>
    <row r="379" ht="12.75">
      <c r="L379" s="29"/>
    </row>
    <row r="380" ht="12.75">
      <c r="L380" s="29"/>
    </row>
    <row r="381" ht="12.75">
      <c r="L381" s="29"/>
    </row>
    <row r="382" ht="12.75">
      <c r="L382" s="29"/>
    </row>
    <row r="383" ht="12.75">
      <c r="L383" s="29"/>
    </row>
  </sheetData>
  <sheetProtection/>
  <mergeCells count="101">
    <mergeCell ref="A21:C21"/>
    <mergeCell ref="A65:C65"/>
    <mergeCell ref="A60:J60"/>
    <mergeCell ref="A39:C39"/>
    <mergeCell ref="A48:D48"/>
    <mergeCell ref="E45:F45"/>
    <mergeCell ref="A61:C61"/>
    <mergeCell ref="I52:J52"/>
    <mergeCell ref="G52:H52"/>
    <mergeCell ref="A51:J51"/>
    <mergeCell ref="A38:C38"/>
    <mergeCell ref="E47:F47"/>
    <mergeCell ref="A40:J40"/>
    <mergeCell ref="A53:F53"/>
    <mergeCell ref="G47:H47"/>
    <mergeCell ref="A50:J50"/>
    <mergeCell ref="G53:H53"/>
    <mergeCell ref="E46:F46"/>
    <mergeCell ref="E49:F49"/>
    <mergeCell ref="I48:J48"/>
    <mergeCell ref="A62:C62"/>
    <mergeCell ref="I59:J59"/>
    <mergeCell ref="I58:J58"/>
    <mergeCell ref="G59:H59"/>
    <mergeCell ref="A55:F55"/>
    <mergeCell ref="G55:H55"/>
    <mergeCell ref="G57:H57"/>
    <mergeCell ref="A54:F54"/>
    <mergeCell ref="G54:H54"/>
    <mergeCell ref="I54:J54"/>
    <mergeCell ref="G48:H48"/>
    <mergeCell ref="A49:D49"/>
    <mergeCell ref="A58:F58"/>
    <mergeCell ref="A64:C64"/>
    <mergeCell ref="I47:J47"/>
    <mergeCell ref="I49:J49"/>
    <mergeCell ref="I53:J53"/>
    <mergeCell ref="E48:F48"/>
    <mergeCell ref="A56:F56"/>
    <mergeCell ref="G56:H56"/>
    <mergeCell ref="I56:J56"/>
    <mergeCell ref="A52:F52"/>
    <mergeCell ref="A57:F57"/>
    <mergeCell ref="A35:C35"/>
    <mergeCell ref="E42:F42"/>
    <mergeCell ref="A43:B43"/>
    <mergeCell ref="G58:H58"/>
    <mergeCell ref="I55:J55"/>
    <mergeCell ref="A47:D47"/>
    <mergeCell ref="G49:H49"/>
    <mergeCell ref="A46:D46"/>
    <mergeCell ref="I46:J46"/>
    <mergeCell ref="A44:J44"/>
    <mergeCell ref="A16:J16"/>
    <mergeCell ref="A17:C17"/>
    <mergeCell ref="A25:C25"/>
    <mergeCell ref="A14:C14"/>
    <mergeCell ref="A59:F59"/>
    <mergeCell ref="A63:C63"/>
    <mergeCell ref="A33:C33"/>
    <mergeCell ref="A34:C34"/>
    <mergeCell ref="C42:D42"/>
    <mergeCell ref="G43:H43"/>
    <mergeCell ref="A22:C22"/>
    <mergeCell ref="G42:H42"/>
    <mergeCell ref="E41:F41"/>
    <mergeCell ref="G41:H41"/>
    <mergeCell ref="A26:J26"/>
    <mergeCell ref="A10:C10"/>
    <mergeCell ref="A15:C15"/>
    <mergeCell ref="A19:C19"/>
    <mergeCell ref="A18:C18"/>
    <mergeCell ref="A36:C36"/>
    <mergeCell ref="A3:C3"/>
    <mergeCell ref="A4:J4"/>
    <mergeCell ref="A5:C5"/>
    <mergeCell ref="A13:C13"/>
    <mergeCell ref="A7:J7"/>
    <mergeCell ref="A9:C9"/>
    <mergeCell ref="A6:C6"/>
    <mergeCell ref="A8:C8"/>
    <mergeCell ref="A24:C24"/>
    <mergeCell ref="A11:C11"/>
    <mergeCell ref="C41:D41"/>
    <mergeCell ref="A31:J31"/>
    <mergeCell ref="I43:J43"/>
    <mergeCell ref="A12:C12"/>
    <mergeCell ref="A20:J20"/>
    <mergeCell ref="C43:D43"/>
    <mergeCell ref="A32:C32"/>
    <mergeCell ref="A23:C23"/>
    <mergeCell ref="A30:C30"/>
    <mergeCell ref="A28:C28"/>
    <mergeCell ref="A27:C27"/>
    <mergeCell ref="A29:C29"/>
    <mergeCell ref="I57:J57"/>
    <mergeCell ref="G45:H45"/>
    <mergeCell ref="I45:J45"/>
    <mergeCell ref="G46:H46"/>
    <mergeCell ref="E43:F43"/>
    <mergeCell ref="A37:C37"/>
  </mergeCells>
  <printOptions/>
  <pageMargins left="0.1968503937007874" right="0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SergNew</cp:lastModifiedBy>
  <cp:lastPrinted>2023-12-11T06:20:39Z</cp:lastPrinted>
  <dcterms:created xsi:type="dcterms:W3CDTF">2004-02-17T17:28:39Z</dcterms:created>
  <dcterms:modified xsi:type="dcterms:W3CDTF">2024-03-11T12:05:26Z</dcterms:modified>
  <cp:category/>
  <cp:version/>
  <cp:contentType/>
  <cp:contentStatus/>
</cp:coreProperties>
</file>